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xfindley/Documents/Articles/Ifugao CDs_Frontiers/Ifugao Article Frontiers_FINAL/For Submission/October 2021 Revisions/RESUBMISSION/"/>
    </mc:Choice>
  </mc:AlternateContent>
  <xr:revisionPtr revIDLastSave="0" documentId="8_{81B6E4DC-1D7C-EF4F-A333-4D53EB58456C}" xr6:coauthVersionLast="47" xr6:coauthVersionMax="47" xr10:uidLastSave="{00000000-0000-0000-0000-000000000000}"/>
  <bookViews>
    <workbookView xWindow="720" yWindow="500" windowWidth="28800" windowHeight="16280" activeTab="1" xr2:uid="{58D83498-8AE8-4A49-897F-871C2E62BD83}"/>
  </bookViews>
  <sheets>
    <sheet name="Template 1800" sheetId="6" r:id="rId1"/>
    <sheet name="Template 1570" sheetId="8" r:id="rId2"/>
    <sheet name="Low Pop. 1800" sheetId="10" r:id="rId3"/>
    <sheet name="High Calories 1800" sheetId="12" r:id="rId4"/>
    <sheet name="1800 HYRice" sheetId="9" r:id="rId5"/>
    <sheet name="1800 Only Yams" sheetId="17" r:id="rId6"/>
    <sheet name="1800 Only Camote" sheetId="18" r:id="rId7"/>
    <sheet name="1800 Poor Rice Harvest" sheetId="14" r:id="rId8"/>
    <sheet name="1800 Goats Present" sheetId="19" r:id="rId9"/>
    <sheet name="1800 No Carabao Herd" sheetId="20" r:id="rId10"/>
    <sheet name="1800 Kadangyan" sheetId="21" r:id="rId11"/>
    <sheet name="1800 Nawotwot" sheetId="22" r:id="rId12"/>
    <sheet name="Alternative Hunting 1800" sheetId="15" r:id="rId1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D74" i="6" l="1"/>
  <c r="AD73" i="6"/>
  <c r="Y50" i="6"/>
  <c r="Y52" i="8"/>
  <c r="Y50" i="8"/>
  <c r="Y49" i="8"/>
  <c r="D17" i="8"/>
  <c r="D12" i="6"/>
  <c r="D11" i="6"/>
  <c r="D10" i="6"/>
  <c r="D9" i="6"/>
  <c r="D9" i="8"/>
  <c r="AD80" i="15"/>
  <c r="AD77" i="15"/>
  <c r="D18" i="22"/>
  <c r="D18" i="21"/>
  <c r="G26" i="14"/>
  <c r="G44" i="8"/>
  <c r="D18" i="19"/>
  <c r="D19" i="15"/>
  <c r="D18" i="15"/>
  <c r="AD101" i="15"/>
  <c r="AD102" i="15" s="1"/>
  <c r="AD104" i="15" s="1"/>
  <c r="AD100" i="15"/>
  <c r="AD103" i="15" s="1"/>
  <c r="AC30" i="15" s="1"/>
  <c r="AD92" i="15"/>
  <c r="AD91" i="15"/>
  <c r="AD93" i="15" s="1"/>
  <c r="AD94" i="15" s="1"/>
  <c r="AD90" i="15"/>
  <c r="AD83" i="15"/>
  <c r="AD84" i="15" s="1"/>
  <c r="AD82" i="15"/>
  <c r="AD79" i="15"/>
  <c r="AD81" i="15" s="1"/>
  <c r="AD78" i="15"/>
  <c r="AD101" i="22"/>
  <c r="AD100" i="22"/>
  <c r="AD103" i="22" s="1"/>
  <c r="AC30" i="22" s="1"/>
  <c r="AD94" i="22"/>
  <c r="AD93" i="22"/>
  <c r="AD92" i="22"/>
  <c r="AD91" i="22"/>
  <c r="AD90" i="22"/>
  <c r="AD95" i="22" s="1"/>
  <c r="AD96" i="22" s="1"/>
  <c r="AD82" i="22"/>
  <c r="AD79" i="22"/>
  <c r="AD81" i="22" s="1"/>
  <c r="AD78" i="22"/>
  <c r="AD77" i="22"/>
  <c r="AD80" i="22" s="1"/>
  <c r="AD83" i="22" s="1"/>
  <c r="AD84" i="22" s="1"/>
  <c r="AD101" i="21"/>
  <c r="AD100" i="21"/>
  <c r="AD103" i="21" s="1"/>
  <c r="AC30" i="21" s="1"/>
  <c r="AD93" i="21"/>
  <c r="AD94" i="21" s="1"/>
  <c r="AD92" i="21"/>
  <c r="AD91" i="21"/>
  <c r="AD90" i="21"/>
  <c r="AD95" i="21" s="1"/>
  <c r="AD96" i="21" s="1"/>
  <c r="AD82" i="21"/>
  <c r="AD78" i="21"/>
  <c r="AD79" i="21" s="1"/>
  <c r="AD81" i="21" s="1"/>
  <c r="AD77" i="21"/>
  <c r="AD80" i="21" s="1"/>
  <c r="AD103" i="20"/>
  <c r="AD101" i="20"/>
  <c r="AD102" i="20" s="1"/>
  <c r="AD104" i="20" s="1"/>
  <c r="AD30" i="20" s="1"/>
  <c r="AD100" i="20"/>
  <c r="AD92" i="20"/>
  <c r="AD93" i="20" s="1"/>
  <c r="AD94" i="20" s="1"/>
  <c r="AD91" i="20"/>
  <c r="AD90" i="20"/>
  <c r="AD83" i="20"/>
  <c r="AD84" i="20" s="1"/>
  <c r="AD82" i="20"/>
  <c r="AD80" i="20"/>
  <c r="AD79" i="20"/>
  <c r="AD81" i="20" s="1"/>
  <c r="AD78" i="20"/>
  <c r="AD77" i="20"/>
  <c r="AD101" i="19"/>
  <c r="AD100" i="19"/>
  <c r="AD103" i="19" s="1"/>
  <c r="AC30" i="19" s="1"/>
  <c r="AD92" i="19"/>
  <c r="AD91" i="19"/>
  <c r="AD93" i="19" s="1"/>
  <c r="AD94" i="19" s="1"/>
  <c r="AD90" i="19"/>
  <c r="AD95" i="19" s="1"/>
  <c r="AD96" i="19" s="1"/>
  <c r="AD82" i="19"/>
  <c r="AD79" i="19"/>
  <c r="AD81" i="19" s="1"/>
  <c r="AD78" i="19"/>
  <c r="AD77" i="19"/>
  <c r="AD80" i="19" s="1"/>
  <c r="AD83" i="19" s="1"/>
  <c r="AD84" i="19" s="1"/>
  <c r="AD103" i="14"/>
  <c r="AD101" i="14"/>
  <c r="AD100" i="14"/>
  <c r="AD102" i="14" s="1"/>
  <c r="AD104" i="14" s="1"/>
  <c r="AD30" i="14" s="1"/>
  <c r="AD92" i="14"/>
  <c r="AD93" i="14" s="1"/>
  <c r="AD94" i="14" s="1"/>
  <c r="AD91" i="14"/>
  <c r="AD90" i="14"/>
  <c r="AD82" i="14"/>
  <c r="AD79" i="14"/>
  <c r="AD81" i="14" s="1"/>
  <c r="AD78" i="14"/>
  <c r="AD77" i="14"/>
  <c r="AD80" i="14" s="1"/>
  <c r="AD83" i="14" s="1"/>
  <c r="AD84" i="14" s="1"/>
  <c r="AD101" i="18"/>
  <c r="AD100" i="18"/>
  <c r="AD103" i="18" s="1"/>
  <c r="AC30" i="18" s="1"/>
  <c r="AD92" i="18"/>
  <c r="AD93" i="18" s="1"/>
  <c r="AD94" i="18" s="1"/>
  <c r="AD91" i="18"/>
  <c r="AD90" i="18"/>
  <c r="AD95" i="18" s="1"/>
  <c r="AD96" i="18" s="1"/>
  <c r="AD82" i="18"/>
  <c r="AD79" i="18"/>
  <c r="AD81" i="18" s="1"/>
  <c r="AD78" i="18"/>
  <c r="AD77" i="18"/>
  <c r="AD80" i="18" s="1"/>
  <c r="AD83" i="18" s="1"/>
  <c r="AD84" i="18" s="1"/>
  <c r="AD101" i="17"/>
  <c r="AD100" i="17"/>
  <c r="AD103" i="17" s="1"/>
  <c r="AC30" i="17" s="1"/>
  <c r="AD93" i="17"/>
  <c r="AD94" i="17" s="1"/>
  <c r="AD92" i="17"/>
  <c r="AD91" i="17"/>
  <c r="AD90" i="17"/>
  <c r="AD95" i="17" s="1"/>
  <c r="AD96" i="17" s="1"/>
  <c r="AD82" i="17"/>
  <c r="AD78" i="17"/>
  <c r="AD79" i="17" s="1"/>
  <c r="AD81" i="17" s="1"/>
  <c r="AD77" i="17"/>
  <c r="AD80" i="17" s="1"/>
  <c r="AD101" i="9"/>
  <c r="AD100" i="9"/>
  <c r="AD103" i="9" s="1"/>
  <c r="AC30" i="9" s="1"/>
  <c r="AD94" i="9"/>
  <c r="AD93" i="9"/>
  <c r="AD92" i="9"/>
  <c r="AD91" i="9"/>
  <c r="AD90" i="9"/>
  <c r="AD95" i="9" s="1"/>
  <c r="AD96" i="9" s="1"/>
  <c r="AD82" i="9"/>
  <c r="AD79" i="9"/>
  <c r="AD81" i="9" s="1"/>
  <c r="AD78" i="9"/>
  <c r="AD77" i="9"/>
  <c r="AD80" i="9" s="1"/>
  <c r="AD83" i="9" s="1"/>
  <c r="AD84" i="9" s="1"/>
  <c r="AD101" i="12"/>
  <c r="AD100" i="12"/>
  <c r="AD103" i="12" s="1"/>
  <c r="AC30" i="12" s="1"/>
  <c r="AD94" i="12"/>
  <c r="AD93" i="12"/>
  <c r="AD92" i="12"/>
  <c r="AD91" i="12"/>
  <c r="AD90" i="12"/>
  <c r="AD95" i="12" s="1"/>
  <c r="AD96" i="12" s="1"/>
  <c r="AD82" i="12"/>
  <c r="AD79" i="12"/>
  <c r="AD81" i="12" s="1"/>
  <c r="AD78" i="12"/>
  <c r="AD77" i="12"/>
  <c r="AD80" i="12" s="1"/>
  <c r="AD83" i="12" s="1"/>
  <c r="AD84" i="12" s="1"/>
  <c r="AD101" i="10"/>
  <c r="AD100" i="10"/>
  <c r="AD103" i="10" s="1"/>
  <c r="AC30" i="10" s="1"/>
  <c r="AD92" i="10"/>
  <c r="AD93" i="10" s="1"/>
  <c r="AD94" i="10" s="1"/>
  <c r="AD91" i="10"/>
  <c r="AD90" i="10"/>
  <c r="AD82" i="10"/>
  <c r="AD78" i="10"/>
  <c r="AD77" i="10"/>
  <c r="AD80" i="10" s="1"/>
  <c r="AD83" i="10" s="1"/>
  <c r="AD84" i="10" s="1"/>
  <c r="AD101" i="8"/>
  <c r="AD100" i="8"/>
  <c r="AD103" i="8" s="1"/>
  <c r="AC30" i="8" s="1"/>
  <c r="AD94" i="8"/>
  <c r="AD93" i="8"/>
  <c r="AD92" i="8"/>
  <c r="AD91" i="8"/>
  <c r="AD90" i="8"/>
  <c r="AD95" i="8" s="1"/>
  <c r="AD96" i="8" s="1"/>
  <c r="AD82" i="8"/>
  <c r="AD79" i="8"/>
  <c r="AD81" i="8" s="1"/>
  <c r="AD78" i="8"/>
  <c r="AD77" i="8"/>
  <c r="AD80" i="8" s="1"/>
  <c r="AD83" i="8" s="1"/>
  <c r="AD84" i="8" s="1"/>
  <c r="AD104" i="6"/>
  <c r="AD103" i="6"/>
  <c r="AD102" i="6"/>
  <c r="AD101" i="6"/>
  <c r="AD100" i="6"/>
  <c r="AD96" i="6"/>
  <c r="AD95" i="6"/>
  <c r="AD94" i="6"/>
  <c r="AD92" i="6"/>
  <c r="AD93" i="6"/>
  <c r="AD91" i="6"/>
  <c r="AD90" i="6"/>
  <c r="AD86" i="6"/>
  <c r="AD85" i="6"/>
  <c r="AD83" i="6"/>
  <c r="AD84" i="6"/>
  <c r="AD82" i="6"/>
  <c r="AD81" i="6"/>
  <c r="AD80" i="6"/>
  <c r="AD79" i="6"/>
  <c r="AD78" i="6"/>
  <c r="AD77" i="6"/>
  <c r="AD71" i="6"/>
  <c r="AD68" i="6"/>
  <c r="AD64" i="6"/>
  <c r="AD62" i="6"/>
  <c r="AD65" i="6"/>
  <c r="AD59" i="6"/>
  <c r="AD56" i="6"/>
  <c r="AD55" i="6"/>
  <c r="AD53" i="6"/>
  <c r="AD30" i="6"/>
  <c r="AC30" i="6"/>
  <c r="AC25" i="6"/>
  <c r="AC27" i="6"/>
  <c r="AC26" i="6"/>
  <c r="Y52" i="6"/>
  <c r="Y51" i="6"/>
  <c r="Y49" i="6"/>
  <c r="D16" i="6"/>
  <c r="T82" i="6"/>
  <c r="T81" i="6"/>
  <c r="T80" i="6"/>
  <c r="T79" i="6"/>
  <c r="T69" i="6"/>
  <c r="T57" i="6"/>
  <c r="T56" i="6"/>
  <c r="T54" i="6"/>
  <c r="T52" i="6"/>
  <c r="U47" i="6"/>
  <c r="D15" i="6"/>
  <c r="D14" i="6"/>
  <c r="D13" i="6"/>
  <c r="E57" i="6"/>
  <c r="N82" i="6"/>
  <c r="N81" i="6"/>
  <c r="N68" i="6"/>
  <c r="N66" i="6"/>
  <c r="N65" i="6"/>
  <c r="N57" i="6"/>
  <c r="N56" i="6"/>
  <c r="N52" i="6"/>
  <c r="N49" i="6"/>
  <c r="N50" i="6"/>
  <c r="G83" i="6"/>
  <c r="D97" i="6"/>
  <c r="D94" i="6"/>
  <c r="D83" i="6"/>
  <c r="D80" i="6"/>
  <c r="D79" i="6"/>
  <c r="D78" i="6"/>
  <c r="D75" i="6"/>
  <c r="D70" i="6"/>
  <c r="D67" i="6"/>
  <c r="D59" i="15"/>
  <c r="G50" i="15"/>
  <c r="D54" i="15"/>
  <c r="D53" i="15"/>
  <c r="D52" i="15"/>
  <c r="D49" i="15"/>
  <c r="D17" i="15"/>
  <c r="D16" i="15"/>
  <c r="D15" i="15"/>
  <c r="D14" i="15"/>
  <c r="D13" i="15"/>
  <c r="D12" i="15"/>
  <c r="D11" i="15"/>
  <c r="D9" i="15"/>
  <c r="D17" i="22"/>
  <c r="D16" i="22"/>
  <c r="D15" i="22"/>
  <c r="D14" i="22"/>
  <c r="D13" i="22"/>
  <c r="D12" i="22"/>
  <c r="D11" i="22"/>
  <c r="D10" i="22"/>
  <c r="D9" i="22"/>
  <c r="D19" i="22" s="1"/>
  <c r="D17" i="21"/>
  <c r="D16" i="21"/>
  <c r="D15" i="21"/>
  <c r="D14" i="21"/>
  <c r="D13" i="21"/>
  <c r="D11" i="21"/>
  <c r="D12" i="21" s="1"/>
  <c r="D19" i="21" s="1"/>
  <c r="D10" i="21"/>
  <c r="D9" i="21"/>
  <c r="D17" i="20"/>
  <c r="D16" i="20"/>
  <c r="D18" i="20" s="1"/>
  <c r="D15" i="20"/>
  <c r="D14" i="20"/>
  <c r="D13" i="20"/>
  <c r="D12" i="20"/>
  <c r="D11" i="20"/>
  <c r="D10" i="20"/>
  <c r="D9" i="20"/>
  <c r="D19" i="20" s="1"/>
  <c r="D17" i="19"/>
  <c r="D16" i="19"/>
  <c r="D15" i="19"/>
  <c r="D14" i="19"/>
  <c r="D13" i="19"/>
  <c r="D12" i="19"/>
  <c r="D11" i="19"/>
  <c r="D10" i="19"/>
  <c r="D9" i="19"/>
  <c r="D19" i="19" s="1"/>
  <c r="D17" i="14"/>
  <c r="D16" i="14"/>
  <c r="D18" i="14" s="1"/>
  <c r="D15" i="14"/>
  <c r="D14" i="14"/>
  <c r="D13" i="14"/>
  <c r="D12" i="14"/>
  <c r="D11" i="14"/>
  <c r="D10" i="14"/>
  <c r="D9" i="14"/>
  <c r="D19" i="14" s="1"/>
  <c r="D17" i="18"/>
  <c r="D16" i="18"/>
  <c r="D18" i="18" s="1"/>
  <c r="D15" i="18"/>
  <c r="D14" i="18"/>
  <c r="D13" i="18"/>
  <c r="D12" i="18"/>
  <c r="D11" i="18"/>
  <c r="D10" i="18"/>
  <c r="D9" i="18"/>
  <c r="D19" i="18" s="1"/>
  <c r="D17" i="17"/>
  <c r="D16" i="17"/>
  <c r="D18" i="17" s="1"/>
  <c r="D15" i="17"/>
  <c r="D14" i="17"/>
  <c r="D13" i="17"/>
  <c r="D12" i="17"/>
  <c r="D11" i="17"/>
  <c r="D10" i="17"/>
  <c r="D9" i="17"/>
  <c r="D19" i="17" s="1"/>
  <c r="D17" i="9"/>
  <c r="D16" i="9"/>
  <c r="D18" i="9" s="1"/>
  <c r="D15" i="9"/>
  <c r="D14" i="9"/>
  <c r="D13" i="9"/>
  <c r="D12" i="9"/>
  <c r="D11" i="9"/>
  <c r="D10" i="9"/>
  <c r="D9" i="9"/>
  <c r="D19" i="9" s="1"/>
  <c r="D17" i="12"/>
  <c r="D16" i="12"/>
  <c r="D15" i="12"/>
  <c r="D14" i="12"/>
  <c r="D13" i="12"/>
  <c r="D11" i="12"/>
  <c r="D12" i="12" s="1"/>
  <c r="D10" i="12"/>
  <c r="D9" i="12"/>
  <c r="D17" i="10"/>
  <c r="D16" i="10"/>
  <c r="D18" i="10" s="1"/>
  <c r="D15" i="10"/>
  <c r="D14" i="10"/>
  <c r="D13" i="10"/>
  <c r="D12" i="10"/>
  <c r="D11" i="10"/>
  <c r="D10" i="10"/>
  <c r="D9" i="10"/>
  <c r="D19" i="10" s="1"/>
  <c r="D16" i="8"/>
  <c r="D18" i="8" s="1"/>
  <c r="D15" i="8"/>
  <c r="D14" i="8"/>
  <c r="D13" i="8"/>
  <c r="D12" i="8"/>
  <c r="D11" i="8"/>
  <c r="D10" i="8"/>
  <c r="D19" i="8"/>
  <c r="Y48" i="8"/>
  <c r="Y48" i="6"/>
  <c r="G28" i="22"/>
  <c r="G45" i="22" s="1"/>
  <c r="G26" i="22"/>
  <c r="G44" i="22" s="1"/>
  <c r="F25" i="8"/>
  <c r="F26" i="8"/>
  <c r="F27" i="8"/>
  <c r="D70" i="8" s="1"/>
  <c r="F28" i="8"/>
  <c r="D62" i="8" s="1"/>
  <c r="F29" i="8"/>
  <c r="F32" i="8"/>
  <c r="F25" i="10"/>
  <c r="F26" i="10"/>
  <c r="D86" i="10" s="1"/>
  <c r="F27" i="10"/>
  <c r="F28" i="10"/>
  <c r="D62" i="10" s="1"/>
  <c r="F29" i="10"/>
  <c r="F32" i="10"/>
  <c r="D78" i="10" s="1"/>
  <c r="D70" i="10"/>
  <c r="O85" i="22"/>
  <c r="T79" i="22"/>
  <c r="T80" i="22" s="1"/>
  <c r="O69" i="22"/>
  <c r="AD68" i="22"/>
  <c r="AD71" i="22" s="1"/>
  <c r="T64" i="22"/>
  <c r="T67" i="22" s="1"/>
  <c r="AD59" i="22"/>
  <c r="AD62" i="22" s="1"/>
  <c r="T54" i="22"/>
  <c r="O53" i="22"/>
  <c r="Y51" i="22"/>
  <c r="T51" i="22"/>
  <c r="T52" i="22" s="1"/>
  <c r="T55" i="22" s="1"/>
  <c r="AD50" i="22"/>
  <c r="AD53" i="22" s="1"/>
  <c r="Y49" i="22"/>
  <c r="Y50" i="22" s="1"/>
  <c r="Y48" i="22"/>
  <c r="N38" i="22"/>
  <c r="N35" i="22"/>
  <c r="W34" i="22"/>
  <c r="U34" i="22"/>
  <c r="N34" i="22"/>
  <c r="W32" i="22"/>
  <c r="F32" i="22"/>
  <c r="D78" i="22" s="1"/>
  <c r="W31" i="22"/>
  <c r="F29" i="22"/>
  <c r="D97" i="22" s="1"/>
  <c r="F28" i="22"/>
  <c r="D62" i="22" s="1"/>
  <c r="F27" i="22"/>
  <c r="D70" i="22" s="1"/>
  <c r="F26" i="22"/>
  <c r="D86" i="22" s="1"/>
  <c r="N25" i="22"/>
  <c r="D75" i="22" s="1"/>
  <c r="F25" i="22"/>
  <c r="D52" i="22" s="1"/>
  <c r="G25" i="21"/>
  <c r="G44" i="21" s="1"/>
  <c r="N34" i="21"/>
  <c r="N35" i="21"/>
  <c r="O85" i="21"/>
  <c r="T79" i="21"/>
  <c r="T80" i="21" s="1"/>
  <c r="AD71" i="21"/>
  <c r="O69" i="21"/>
  <c r="AD68" i="21"/>
  <c r="T64" i="21"/>
  <c r="T67" i="21" s="1"/>
  <c r="AD62" i="21"/>
  <c r="AD59" i="21"/>
  <c r="T54" i="21"/>
  <c r="O53" i="21"/>
  <c r="Y51" i="21"/>
  <c r="T51" i="21"/>
  <c r="T52" i="21" s="1"/>
  <c r="T55" i="21" s="1"/>
  <c r="AD50" i="21"/>
  <c r="AD53" i="21" s="1"/>
  <c r="Y48" i="21"/>
  <c r="Y49" i="21" s="1"/>
  <c r="Y50" i="21" s="1"/>
  <c r="W32" i="21"/>
  <c r="F32" i="21"/>
  <c r="D78" i="21" s="1"/>
  <c r="W31" i="21"/>
  <c r="F29" i="21"/>
  <c r="D97" i="21" s="1"/>
  <c r="F28" i="21"/>
  <c r="D62" i="21" s="1"/>
  <c r="F27" i="21"/>
  <c r="D70" i="21" s="1"/>
  <c r="F26" i="21"/>
  <c r="D86" i="21" s="1"/>
  <c r="N25" i="21"/>
  <c r="D75" i="21" s="1"/>
  <c r="F25" i="21"/>
  <c r="D52" i="21" s="1"/>
  <c r="O85" i="20"/>
  <c r="T79" i="20"/>
  <c r="T80" i="20" s="1"/>
  <c r="O69" i="20"/>
  <c r="AD68" i="20"/>
  <c r="AD71" i="20" s="1"/>
  <c r="T64" i="20"/>
  <c r="T67" i="20" s="1"/>
  <c r="AD59" i="20"/>
  <c r="AD62" i="20" s="1"/>
  <c r="T54" i="20"/>
  <c r="O53" i="20"/>
  <c r="Y51" i="20"/>
  <c r="T51" i="20"/>
  <c r="T52" i="20" s="1"/>
  <c r="T55" i="20" s="1"/>
  <c r="AD50" i="20"/>
  <c r="AD53" i="20" s="1"/>
  <c r="Y49" i="20"/>
  <c r="Y50" i="20" s="1"/>
  <c r="Y48" i="20"/>
  <c r="G44" i="20"/>
  <c r="N34" i="20"/>
  <c r="W32" i="20"/>
  <c r="F32" i="20"/>
  <c r="D78" i="20" s="1"/>
  <c r="W31" i="20"/>
  <c r="N31" i="20"/>
  <c r="AC30" i="20"/>
  <c r="F29" i="20"/>
  <c r="D97" i="20" s="1"/>
  <c r="F28" i="20"/>
  <c r="D62" i="20" s="1"/>
  <c r="F27" i="20"/>
  <c r="D70" i="20" s="1"/>
  <c r="F26" i="20"/>
  <c r="D86" i="20" s="1"/>
  <c r="N25" i="20"/>
  <c r="D75" i="20" s="1"/>
  <c r="F25" i="20"/>
  <c r="D52" i="20" s="1"/>
  <c r="G44" i="19"/>
  <c r="N81" i="19"/>
  <c r="N82" i="19" s="1"/>
  <c r="N83" i="19" s="1"/>
  <c r="N93" i="19" s="1"/>
  <c r="O85" i="19"/>
  <c r="T79" i="19"/>
  <c r="T80" i="19" s="1"/>
  <c r="AD71" i="19"/>
  <c r="O69" i="19"/>
  <c r="AD68" i="19"/>
  <c r="T64" i="19"/>
  <c r="T67" i="19" s="1"/>
  <c r="AD62" i="19"/>
  <c r="AD59" i="19"/>
  <c r="T54" i="19"/>
  <c r="O53" i="19"/>
  <c r="Y51" i="19"/>
  <c r="T51" i="19"/>
  <c r="T52" i="19" s="1"/>
  <c r="T55" i="19" s="1"/>
  <c r="AD50" i="19"/>
  <c r="AD53" i="19" s="1"/>
  <c r="Y49" i="19"/>
  <c r="Y50" i="19" s="1"/>
  <c r="Y48" i="19"/>
  <c r="N34" i="19"/>
  <c r="W32" i="19"/>
  <c r="F32" i="19"/>
  <c r="D78" i="19" s="1"/>
  <c r="W31" i="19"/>
  <c r="N31" i="19"/>
  <c r="F29" i="19"/>
  <c r="D97" i="19" s="1"/>
  <c r="F28" i="19"/>
  <c r="D62" i="19" s="1"/>
  <c r="F27" i="19"/>
  <c r="D70" i="19" s="1"/>
  <c r="F26" i="19"/>
  <c r="D86" i="19" s="1"/>
  <c r="N25" i="19"/>
  <c r="D75" i="19" s="1"/>
  <c r="F25" i="19"/>
  <c r="D52" i="19" s="1"/>
  <c r="O85" i="15"/>
  <c r="N81" i="15"/>
  <c r="N82" i="15" s="1"/>
  <c r="N83" i="15" s="1"/>
  <c r="T79" i="15"/>
  <c r="T80" i="15" s="1"/>
  <c r="D78" i="15"/>
  <c r="O69" i="15"/>
  <c r="AD68" i="15"/>
  <c r="AD71" i="15" s="1"/>
  <c r="T64" i="15"/>
  <c r="T67" i="15" s="1"/>
  <c r="AD62" i="15"/>
  <c r="AD59" i="15"/>
  <c r="T54" i="15"/>
  <c r="O53" i="15"/>
  <c r="Y51" i="15"/>
  <c r="T51" i="15"/>
  <c r="T52" i="15" s="1"/>
  <c r="T55" i="15" s="1"/>
  <c r="AD50" i="15"/>
  <c r="AD53" i="15" s="1"/>
  <c r="Y49" i="15"/>
  <c r="Y50" i="15" s="1"/>
  <c r="G44" i="15"/>
  <c r="N34" i="15"/>
  <c r="W32" i="15"/>
  <c r="F32" i="15"/>
  <c r="W31" i="15"/>
  <c r="N31" i="15"/>
  <c r="N35" i="15" s="1"/>
  <c r="F29" i="15"/>
  <c r="D97" i="15" s="1"/>
  <c r="F28" i="15"/>
  <c r="D62" i="15" s="1"/>
  <c r="F27" i="15"/>
  <c r="D70" i="15" s="1"/>
  <c r="F26" i="15"/>
  <c r="D86" i="15" s="1"/>
  <c r="N25" i="15"/>
  <c r="D75" i="15" s="1"/>
  <c r="F25" i="15"/>
  <c r="F25" i="14"/>
  <c r="N25" i="14"/>
  <c r="F26" i="14"/>
  <c r="F27" i="14"/>
  <c r="F28" i="14"/>
  <c r="G28" i="14"/>
  <c r="D59" i="14" s="1"/>
  <c r="F29" i="14"/>
  <c r="D97" i="14" s="1"/>
  <c r="AC30" i="14"/>
  <c r="N31" i="14"/>
  <c r="W31" i="14"/>
  <c r="F32" i="14"/>
  <c r="W32" i="14"/>
  <c r="N34" i="14"/>
  <c r="U34" i="14"/>
  <c r="W34" i="14" s="1"/>
  <c r="N38" i="14"/>
  <c r="G44" i="14"/>
  <c r="Y48" i="14"/>
  <c r="Y49" i="14" s="1"/>
  <c r="Y50" i="14" s="1"/>
  <c r="D49" i="14"/>
  <c r="N49" i="14"/>
  <c r="N50" i="14"/>
  <c r="N51" i="14" s="1"/>
  <c r="AD50" i="14"/>
  <c r="T51" i="14"/>
  <c r="T52" i="14" s="1"/>
  <c r="T55" i="14" s="1"/>
  <c r="T56" i="14" s="1"/>
  <c r="T57" i="14" s="1"/>
  <c r="T58" i="14" s="1"/>
  <c r="Y51" i="14"/>
  <c r="D52" i="14"/>
  <c r="O53" i="14"/>
  <c r="AD53" i="14"/>
  <c r="T54" i="14"/>
  <c r="AD59" i="14"/>
  <c r="D62" i="14"/>
  <c r="AD62" i="14"/>
  <c r="T64" i="14"/>
  <c r="N65" i="14"/>
  <c r="N66" i="14" s="1"/>
  <c r="N67" i="14" s="1"/>
  <c r="D67" i="14"/>
  <c r="T67" i="14"/>
  <c r="T68" i="14" s="1"/>
  <c r="AD68" i="14"/>
  <c r="AD71" i="14" s="1"/>
  <c r="O69" i="14"/>
  <c r="D70" i="14"/>
  <c r="D71" i="14" s="1"/>
  <c r="D72" i="14" s="1"/>
  <c r="G69" i="14" s="1"/>
  <c r="D75" i="14"/>
  <c r="D78" i="14"/>
  <c r="D79" i="14"/>
  <c r="D80" i="14" s="1"/>
  <c r="G77" i="14" s="1"/>
  <c r="T79" i="14"/>
  <c r="T81" i="14" s="1"/>
  <c r="T82" i="14" s="1"/>
  <c r="N81" i="14"/>
  <c r="N82" i="14" s="1"/>
  <c r="N83" i="14" s="1"/>
  <c r="D83" i="14"/>
  <c r="O85" i="14"/>
  <c r="D86" i="14"/>
  <c r="D94" i="14"/>
  <c r="O85" i="18"/>
  <c r="T79" i="18"/>
  <c r="T80" i="18" s="1"/>
  <c r="AD71" i="18"/>
  <c r="O69" i="18"/>
  <c r="AD68" i="18"/>
  <c r="T64" i="18"/>
  <c r="T67" i="18" s="1"/>
  <c r="AD62" i="18"/>
  <c r="AD59" i="18"/>
  <c r="T54" i="18"/>
  <c r="O53" i="18"/>
  <c r="Y51" i="18"/>
  <c r="T51" i="18"/>
  <c r="T52" i="18" s="1"/>
  <c r="T55" i="18" s="1"/>
  <c r="AD50" i="18"/>
  <c r="AD53" i="18" s="1"/>
  <c r="Y48" i="18"/>
  <c r="Y49" i="18" s="1"/>
  <c r="Y50" i="18" s="1"/>
  <c r="G44" i="18"/>
  <c r="N34" i="18"/>
  <c r="W32" i="18"/>
  <c r="F32" i="18"/>
  <c r="D78" i="18" s="1"/>
  <c r="W31" i="18"/>
  <c r="N31" i="18"/>
  <c r="F29" i="18"/>
  <c r="D97" i="18" s="1"/>
  <c r="F28" i="18"/>
  <c r="D62" i="18" s="1"/>
  <c r="F27" i="18"/>
  <c r="D70" i="18" s="1"/>
  <c r="F26" i="18"/>
  <c r="D86" i="18" s="1"/>
  <c r="N25" i="18"/>
  <c r="D75" i="18" s="1"/>
  <c r="F25" i="18"/>
  <c r="D52" i="18" s="1"/>
  <c r="O85" i="17"/>
  <c r="T79" i="17"/>
  <c r="T80" i="17" s="1"/>
  <c r="AD71" i="17"/>
  <c r="O69" i="17"/>
  <c r="AD68" i="17"/>
  <c r="T64" i="17"/>
  <c r="T67" i="17" s="1"/>
  <c r="AD59" i="17"/>
  <c r="AD62" i="17" s="1"/>
  <c r="T54" i="17"/>
  <c r="O53" i="17"/>
  <c r="Y51" i="17"/>
  <c r="T51" i="17"/>
  <c r="T52" i="17" s="1"/>
  <c r="T55" i="17" s="1"/>
  <c r="AD50" i="17"/>
  <c r="AD53" i="17" s="1"/>
  <c r="Y48" i="17"/>
  <c r="Y49" i="17" s="1"/>
  <c r="Y50" i="17" s="1"/>
  <c r="G44" i="17"/>
  <c r="N34" i="17"/>
  <c r="W32" i="17"/>
  <c r="F32" i="17"/>
  <c r="D78" i="17" s="1"/>
  <c r="W31" i="17"/>
  <c r="N31" i="17"/>
  <c r="F29" i="17"/>
  <c r="D97" i="17" s="1"/>
  <c r="F28" i="17"/>
  <c r="D62" i="17" s="1"/>
  <c r="F27" i="17"/>
  <c r="D70" i="17" s="1"/>
  <c r="F26" i="17"/>
  <c r="D86" i="17" s="1"/>
  <c r="N25" i="17"/>
  <c r="D75" i="17" s="1"/>
  <c r="F25" i="17"/>
  <c r="D52" i="17" s="1"/>
  <c r="O85" i="9"/>
  <c r="T79" i="9"/>
  <c r="T80" i="9" s="1"/>
  <c r="AD71" i="9"/>
  <c r="O69" i="9"/>
  <c r="AD68" i="9"/>
  <c r="T64" i="9"/>
  <c r="T67" i="9" s="1"/>
  <c r="AD62" i="9"/>
  <c r="AD59" i="9"/>
  <c r="T54" i="9"/>
  <c r="O53" i="9"/>
  <c r="Y51" i="9"/>
  <c r="T51" i="9"/>
  <c r="T52" i="9" s="1"/>
  <c r="T55" i="9" s="1"/>
  <c r="AD50" i="9"/>
  <c r="AD53" i="9" s="1"/>
  <c r="Y48" i="9"/>
  <c r="Y49" i="9" s="1"/>
  <c r="Y50" i="9" s="1"/>
  <c r="G44" i="9"/>
  <c r="N34" i="9"/>
  <c r="W32" i="9"/>
  <c r="F32" i="9"/>
  <c r="D78" i="9" s="1"/>
  <c r="W31" i="9"/>
  <c r="N31" i="9"/>
  <c r="F29" i="9"/>
  <c r="D97" i="9" s="1"/>
  <c r="F28" i="9"/>
  <c r="D62" i="9" s="1"/>
  <c r="F27" i="9"/>
  <c r="D70" i="9" s="1"/>
  <c r="F26" i="9"/>
  <c r="D86" i="9" s="1"/>
  <c r="N25" i="9"/>
  <c r="F25" i="9"/>
  <c r="D52" i="9" s="1"/>
  <c r="O85" i="12"/>
  <c r="T79" i="12"/>
  <c r="T80" i="12" s="1"/>
  <c r="O69" i="12"/>
  <c r="AD68" i="12"/>
  <c r="AD71" i="12" s="1"/>
  <c r="T64" i="12"/>
  <c r="T67" i="12" s="1"/>
  <c r="AD62" i="12"/>
  <c r="AD59" i="12"/>
  <c r="T54" i="12"/>
  <c r="O53" i="12"/>
  <c r="Y51" i="12"/>
  <c r="T51" i="12"/>
  <c r="T52" i="12" s="1"/>
  <c r="T55" i="12" s="1"/>
  <c r="AD50" i="12"/>
  <c r="AD53" i="12" s="1"/>
  <c r="Y49" i="12"/>
  <c r="Y50" i="12" s="1"/>
  <c r="Y48" i="12"/>
  <c r="G44" i="12"/>
  <c r="N34" i="12"/>
  <c r="W32" i="12"/>
  <c r="F32" i="12"/>
  <c r="D78" i="12" s="1"/>
  <c r="W31" i="12"/>
  <c r="N31" i="12"/>
  <c r="F29" i="12"/>
  <c r="D97" i="12" s="1"/>
  <c r="F28" i="12"/>
  <c r="D62" i="12" s="1"/>
  <c r="F27" i="12"/>
  <c r="D70" i="12" s="1"/>
  <c r="F26" i="12"/>
  <c r="D86" i="12" s="1"/>
  <c r="N25" i="12"/>
  <c r="D75" i="12" s="1"/>
  <c r="F25" i="12"/>
  <c r="D52" i="12" s="1"/>
  <c r="N35" i="10"/>
  <c r="N34" i="10"/>
  <c r="N34" i="6"/>
  <c r="O85" i="10"/>
  <c r="T79" i="10"/>
  <c r="T80" i="10" s="1"/>
  <c r="AD71" i="10"/>
  <c r="O69" i="10"/>
  <c r="AD68" i="10"/>
  <c r="T64" i="10"/>
  <c r="T67" i="10" s="1"/>
  <c r="AD62" i="10"/>
  <c r="AD59" i="10"/>
  <c r="T54" i="10"/>
  <c r="O53" i="10"/>
  <c r="Y51" i="10"/>
  <c r="T51" i="10"/>
  <c r="T52" i="10" s="1"/>
  <c r="T55" i="10" s="1"/>
  <c r="AD50" i="10"/>
  <c r="AD53" i="10" s="1"/>
  <c r="Y48" i="10"/>
  <c r="Y49" i="10" s="1"/>
  <c r="Y50" i="10" s="1"/>
  <c r="G44" i="10"/>
  <c r="W32" i="10"/>
  <c r="W31" i="10"/>
  <c r="N31" i="10"/>
  <c r="U34" i="10" s="1"/>
  <c r="W34" i="10" s="1"/>
  <c r="D97" i="10"/>
  <c r="N25" i="10"/>
  <c r="D75" i="10" s="1"/>
  <c r="D52" i="10"/>
  <c r="N34" i="8"/>
  <c r="O85" i="8"/>
  <c r="T79" i="8"/>
  <c r="T80" i="8" s="1"/>
  <c r="O69" i="8"/>
  <c r="AD68" i="8"/>
  <c r="AD71" i="8" s="1"/>
  <c r="T64" i="8"/>
  <c r="T67" i="8" s="1"/>
  <c r="AD59" i="8"/>
  <c r="AD62" i="8" s="1"/>
  <c r="T54" i="8"/>
  <c r="O53" i="8"/>
  <c r="Y51" i="8"/>
  <c r="T51" i="8"/>
  <c r="T52" i="8" s="1"/>
  <c r="T55" i="8" s="1"/>
  <c r="AD50" i="8"/>
  <c r="AD53" i="8" s="1"/>
  <c r="W32" i="8"/>
  <c r="D78" i="8"/>
  <c r="W31" i="8"/>
  <c r="N38" i="8"/>
  <c r="D97" i="8"/>
  <c r="D86" i="8"/>
  <c r="N25" i="8"/>
  <c r="D75" i="8" s="1"/>
  <c r="D52" i="8"/>
  <c r="T51" i="6"/>
  <c r="N31" i="6"/>
  <c r="N38" i="6" s="1"/>
  <c r="F32" i="6"/>
  <c r="F29" i="6"/>
  <c r="F28" i="6"/>
  <c r="D62" i="6" s="1"/>
  <c r="F27" i="6"/>
  <c r="F26" i="6"/>
  <c r="D86" i="6" s="1"/>
  <c r="F25" i="6"/>
  <c r="D52" i="6" s="1"/>
  <c r="G44" i="6"/>
  <c r="AD86" i="15" l="1"/>
  <c r="AD85" i="15"/>
  <c r="AD95" i="15"/>
  <c r="AD96" i="15" s="1"/>
  <c r="AD30" i="15"/>
  <c r="AD86" i="22"/>
  <c r="AD85" i="22"/>
  <c r="AD102" i="22"/>
  <c r="AD104" i="22" s="1"/>
  <c r="AD30" i="22" s="1"/>
  <c r="AD83" i="21"/>
  <c r="AD84" i="21" s="1"/>
  <c r="AD102" i="21"/>
  <c r="AD104" i="21" s="1"/>
  <c r="AD30" i="21" s="1"/>
  <c r="AD86" i="20"/>
  <c r="AD85" i="20"/>
  <c r="AD95" i="20"/>
  <c r="AD96" i="20" s="1"/>
  <c r="AD86" i="19"/>
  <c r="AD85" i="19"/>
  <c r="AD102" i="19"/>
  <c r="AD104" i="19" s="1"/>
  <c r="AD30" i="19" s="1"/>
  <c r="AD86" i="14"/>
  <c r="AD85" i="14"/>
  <c r="AD95" i="14"/>
  <c r="AD96" i="14" s="1"/>
  <c r="AD86" i="18"/>
  <c r="AD85" i="18"/>
  <c r="AD102" i="18"/>
  <c r="AD104" i="18" s="1"/>
  <c r="AD30" i="18" s="1"/>
  <c r="AD83" i="17"/>
  <c r="AD84" i="17" s="1"/>
  <c r="AD102" i="17"/>
  <c r="AD104" i="17" s="1"/>
  <c r="AD30" i="17" s="1"/>
  <c r="AD86" i="9"/>
  <c r="AD85" i="9"/>
  <c r="AD102" i="9"/>
  <c r="AD104" i="9" s="1"/>
  <c r="AD30" i="9" s="1"/>
  <c r="AD86" i="12"/>
  <c r="AD85" i="12"/>
  <c r="AD102" i="12"/>
  <c r="AD104" i="12" s="1"/>
  <c r="AD30" i="12" s="1"/>
  <c r="AD95" i="10"/>
  <c r="AD96" i="10" s="1"/>
  <c r="AD79" i="10"/>
  <c r="AD81" i="10" s="1"/>
  <c r="AD86" i="10" s="1"/>
  <c r="AD102" i="10"/>
  <c r="AD104" i="10" s="1"/>
  <c r="AD30" i="10" s="1"/>
  <c r="AD86" i="8"/>
  <c r="AD85" i="8"/>
  <c r="AD102" i="8"/>
  <c r="AD104" i="8" s="1"/>
  <c r="AD30" i="8" s="1"/>
  <c r="D18" i="12"/>
  <c r="D19" i="12"/>
  <c r="Y52" i="22"/>
  <c r="T56" i="22"/>
  <c r="T57" i="22" s="1"/>
  <c r="T58" i="22" s="1"/>
  <c r="N81" i="21"/>
  <c r="N82" i="21" s="1"/>
  <c r="N83" i="21" s="1"/>
  <c r="N81" i="20"/>
  <c r="N82" i="20" s="1"/>
  <c r="N83" i="20" s="1"/>
  <c r="N49" i="19"/>
  <c r="N50" i="19" s="1"/>
  <c r="N51" i="19" s="1"/>
  <c r="Y52" i="14"/>
  <c r="T80" i="14"/>
  <c r="AD28" i="14"/>
  <c r="N35" i="14"/>
  <c r="D98" i="14"/>
  <c r="D99" i="14" s="1"/>
  <c r="E92" i="14" s="1"/>
  <c r="D79" i="18"/>
  <c r="N81" i="18"/>
  <c r="N82" i="18" s="1"/>
  <c r="N83" i="18" s="1"/>
  <c r="N81" i="17"/>
  <c r="N82" i="17" s="1"/>
  <c r="N83" i="17" s="1"/>
  <c r="N93" i="17" s="1"/>
  <c r="D79" i="17"/>
  <c r="N81" i="12"/>
  <c r="N82" i="12" s="1"/>
  <c r="N83" i="12" s="1"/>
  <c r="N93" i="12" s="1"/>
  <c r="N38" i="10"/>
  <c r="N81" i="10"/>
  <c r="N82" i="10" s="1"/>
  <c r="N83" i="10" s="1"/>
  <c r="N93" i="10" s="1"/>
  <c r="N35" i="8"/>
  <c r="N35" i="6"/>
  <c r="D79" i="15"/>
  <c r="D79" i="22"/>
  <c r="D80" i="22" s="1"/>
  <c r="G77" i="22" s="1"/>
  <c r="D79" i="21"/>
  <c r="D79" i="20"/>
  <c r="D79" i="19"/>
  <c r="N84" i="19"/>
  <c r="N88" i="19" s="1"/>
  <c r="D87" i="14"/>
  <c r="D88" i="14" s="1"/>
  <c r="G83" i="14" s="1"/>
  <c r="D63" i="14"/>
  <c r="D64" i="14" s="1"/>
  <c r="D53" i="14"/>
  <c r="D54" i="14" s="1"/>
  <c r="G50" i="14" s="1"/>
  <c r="E48" i="14" s="1"/>
  <c r="D79" i="12"/>
  <c r="D79" i="10"/>
  <c r="D80" i="10" s="1"/>
  <c r="G77" i="10" s="1"/>
  <c r="D79" i="8"/>
  <c r="D80" i="8" s="1"/>
  <c r="G77" i="8" s="1"/>
  <c r="T69" i="22"/>
  <c r="T68" i="22"/>
  <c r="N81" i="22"/>
  <c r="N82" i="22" s="1"/>
  <c r="N83" i="22" s="1"/>
  <c r="D67" i="22"/>
  <c r="D71" i="22" s="1"/>
  <c r="D72" i="22" s="1"/>
  <c r="G69" i="22" s="1"/>
  <c r="T81" i="22"/>
  <c r="T82" i="22" s="1"/>
  <c r="D94" i="22"/>
  <c r="D98" i="22" s="1"/>
  <c r="D99" i="22" s="1"/>
  <c r="E92" i="22" s="1"/>
  <c r="D49" i="22"/>
  <c r="D53" i="22" s="1"/>
  <c r="D54" i="22" s="1"/>
  <c r="N65" i="22"/>
  <c r="N66" i="22" s="1"/>
  <c r="N67" i="22" s="1"/>
  <c r="D83" i="22"/>
  <c r="D87" i="22" s="1"/>
  <c r="D88" i="22" s="1"/>
  <c r="G83" i="22" s="1"/>
  <c r="N49" i="22"/>
  <c r="N50" i="22" s="1"/>
  <c r="N51" i="22" s="1"/>
  <c r="D59" i="22"/>
  <c r="D63" i="22" s="1"/>
  <c r="D64" i="22" s="1"/>
  <c r="N93" i="21"/>
  <c r="N84" i="21"/>
  <c r="T68" i="21"/>
  <c r="N38" i="21"/>
  <c r="D67" i="21"/>
  <c r="D71" i="21" s="1"/>
  <c r="D94" i="21"/>
  <c r="D98" i="21" s="1"/>
  <c r="D99" i="21" s="1"/>
  <c r="E92" i="21" s="1"/>
  <c r="U34" i="21"/>
  <c r="W34" i="21" s="1"/>
  <c r="D49" i="21"/>
  <c r="D53" i="21" s="1"/>
  <c r="AD55" i="21" s="1"/>
  <c r="AD56" i="21" s="1"/>
  <c r="AC25" i="21" s="1"/>
  <c r="N65" i="21"/>
  <c r="N66" i="21" s="1"/>
  <c r="N67" i="21" s="1"/>
  <c r="D83" i="21"/>
  <c r="D87" i="21" s="1"/>
  <c r="D88" i="21" s="1"/>
  <c r="G83" i="21" s="1"/>
  <c r="N49" i="21"/>
  <c r="N50" i="21" s="1"/>
  <c r="N51" i="21" s="1"/>
  <c r="D59" i="21"/>
  <c r="D63" i="21" s="1"/>
  <c r="N93" i="20"/>
  <c r="N84" i="20"/>
  <c r="T68" i="20"/>
  <c r="N38" i="20"/>
  <c r="D67" i="20"/>
  <c r="D71" i="20" s="1"/>
  <c r="AD73" i="20" s="1"/>
  <c r="AD74" i="20" s="1"/>
  <c r="AC27" i="20" s="1"/>
  <c r="AD27" i="20" s="1"/>
  <c r="D94" i="20"/>
  <c r="D98" i="20" s="1"/>
  <c r="N35" i="20"/>
  <c r="U34" i="20"/>
  <c r="W34" i="20" s="1"/>
  <c r="D49" i="20"/>
  <c r="D53" i="20" s="1"/>
  <c r="N65" i="20"/>
  <c r="N66" i="20" s="1"/>
  <c r="N67" i="20" s="1"/>
  <c r="D83" i="20"/>
  <c r="D87" i="20" s="1"/>
  <c r="N49" i="20"/>
  <c r="N50" i="20" s="1"/>
  <c r="N51" i="20" s="1"/>
  <c r="D59" i="20"/>
  <c r="D63" i="20" s="1"/>
  <c r="T68" i="19"/>
  <c r="N38" i="19"/>
  <c r="D67" i="19"/>
  <c r="D71" i="19" s="1"/>
  <c r="D72" i="19" s="1"/>
  <c r="G69" i="19" s="1"/>
  <c r="D94" i="19"/>
  <c r="D98" i="19" s="1"/>
  <c r="D99" i="19" s="1"/>
  <c r="E92" i="19" s="1"/>
  <c r="N35" i="19"/>
  <c r="U34" i="19"/>
  <c r="W34" i="19" s="1"/>
  <c r="D49" i="19"/>
  <c r="D53" i="19" s="1"/>
  <c r="D54" i="19" s="1"/>
  <c r="N65" i="19"/>
  <c r="D83" i="19"/>
  <c r="D87" i="19" s="1"/>
  <c r="D88" i="19" s="1"/>
  <c r="G83" i="19" s="1"/>
  <c r="D59" i="19"/>
  <c r="D63" i="19" s="1"/>
  <c r="D64" i="19" s="1"/>
  <c r="N93" i="15"/>
  <c r="N84" i="15"/>
  <c r="T68" i="15"/>
  <c r="N38" i="15"/>
  <c r="D67" i="15"/>
  <c r="D71" i="15" s="1"/>
  <c r="D94" i="15"/>
  <c r="D98" i="15" s="1"/>
  <c r="U34" i="15"/>
  <c r="W34" i="15" s="1"/>
  <c r="AD55" i="15"/>
  <c r="AD56" i="15" s="1"/>
  <c r="AC25" i="15" s="1"/>
  <c r="N65" i="15"/>
  <c r="N66" i="15" s="1"/>
  <c r="N67" i="15" s="1"/>
  <c r="D83" i="15"/>
  <c r="D87" i="15" s="1"/>
  <c r="N49" i="15"/>
  <c r="N50" i="15" s="1"/>
  <c r="N51" i="15" s="1"/>
  <c r="D63" i="15"/>
  <c r="N59" i="14"/>
  <c r="N52" i="14"/>
  <c r="U47" i="14"/>
  <c r="G64" i="14"/>
  <c r="E57" i="14" s="1"/>
  <c r="AC29" i="14"/>
  <c r="AD29" i="14" s="1"/>
  <c r="N68" i="14"/>
  <c r="N76" i="14"/>
  <c r="N93" i="14"/>
  <c r="N84" i="14"/>
  <c r="AD73" i="14"/>
  <c r="AD74" i="14" s="1"/>
  <c r="AC27" i="14" s="1"/>
  <c r="AD27" i="14" s="1"/>
  <c r="T69" i="14"/>
  <c r="N93" i="18"/>
  <c r="N84" i="18"/>
  <c r="T68" i="18"/>
  <c r="D80" i="18"/>
  <c r="G77" i="18" s="1"/>
  <c r="N35" i="18"/>
  <c r="N38" i="18"/>
  <c r="D67" i="18"/>
  <c r="D71" i="18" s="1"/>
  <c r="D72" i="18" s="1"/>
  <c r="G69" i="18" s="1"/>
  <c r="D94" i="18"/>
  <c r="D98" i="18" s="1"/>
  <c r="U34" i="18"/>
  <c r="W34" i="18" s="1"/>
  <c r="D49" i="18"/>
  <c r="D53" i="18" s="1"/>
  <c r="D54" i="18" s="1"/>
  <c r="N65" i="18"/>
  <c r="N66" i="18" s="1"/>
  <c r="N67" i="18" s="1"/>
  <c r="D83" i="18"/>
  <c r="D87" i="18" s="1"/>
  <c r="N49" i="18"/>
  <c r="N50" i="18" s="1"/>
  <c r="N51" i="18" s="1"/>
  <c r="D59" i="18"/>
  <c r="D63" i="18" s="1"/>
  <c r="D80" i="17"/>
  <c r="G77" i="17" s="1"/>
  <c r="T68" i="17"/>
  <c r="N38" i="17"/>
  <c r="D67" i="17"/>
  <c r="D71" i="17" s="1"/>
  <c r="D94" i="17"/>
  <c r="D98" i="17" s="1"/>
  <c r="D99" i="17" s="1"/>
  <c r="E92" i="17" s="1"/>
  <c r="N35" i="17"/>
  <c r="U34" i="17"/>
  <c r="W34" i="17" s="1"/>
  <c r="D49" i="17"/>
  <c r="D53" i="17" s="1"/>
  <c r="D54" i="17" s="1"/>
  <c r="N65" i="17"/>
  <c r="N66" i="17" s="1"/>
  <c r="N67" i="17" s="1"/>
  <c r="D83" i="17"/>
  <c r="D87" i="17" s="1"/>
  <c r="D88" i="17" s="1"/>
  <c r="G83" i="17" s="1"/>
  <c r="N49" i="17"/>
  <c r="N50" i="17" s="1"/>
  <c r="N51" i="17" s="1"/>
  <c r="D59" i="17"/>
  <c r="D63" i="17" s="1"/>
  <c r="D64" i="17" s="1"/>
  <c r="AC29" i="9"/>
  <c r="AD29" i="9" s="1"/>
  <c r="D75" i="9"/>
  <c r="D79" i="9" s="1"/>
  <c r="N81" i="9"/>
  <c r="N82" i="9" s="1"/>
  <c r="N83" i="9" s="1"/>
  <c r="N49" i="9"/>
  <c r="N50" i="9" s="1"/>
  <c r="N51" i="9" s="1"/>
  <c r="D59" i="9"/>
  <c r="D63" i="9" s="1"/>
  <c r="AD64" i="9" s="1"/>
  <c r="AD65" i="9" s="1"/>
  <c r="AC26" i="9" s="1"/>
  <c r="AD26" i="9" s="1"/>
  <c r="N35" i="9"/>
  <c r="N38" i="9"/>
  <c r="D67" i="9"/>
  <c r="D71" i="9" s="1"/>
  <c r="D72" i="9" s="1"/>
  <c r="G69" i="9" s="1"/>
  <c r="T68" i="9"/>
  <c r="D94" i="9"/>
  <c r="D98" i="9" s="1"/>
  <c r="D99" i="9" s="1"/>
  <c r="E92" i="9" s="1"/>
  <c r="U34" i="9"/>
  <c r="W34" i="9" s="1"/>
  <c r="D49" i="9"/>
  <c r="D53" i="9" s="1"/>
  <c r="N65" i="9"/>
  <c r="N66" i="9" s="1"/>
  <c r="N67" i="9" s="1"/>
  <c r="D83" i="9"/>
  <c r="D87" i="9" s="1"/>
  <c r="D88" i="9" s="1"/>
  <c r="G83" i="9" s="1"/>
  <c r="T68" i="12"/>
  <c r="N38" i="12"/>
  <c r="D67" i="12"/>
  <c r="D71" i="12" s="1"/>
  <c r="D72" i="12" s="1"/>
  <c r="G69" i="12" s="1"/>
  <c r="D94" i="12"/>
  <c r="D98" i="12" s="1"/>
  <c r="N35" i="12"/>
  <c r="U34" i="12"/>
  <c r="W34" i="12" s="1"/>
  <c r="D49" i="12"/>
  <c r="D53" i="12" s="1"/>
  <c r="D54" i="12" s="1"/>
  <c r="N65" i="12"/>
  <c r="N66" i="12" s="1"/>
  <c r="N67" i="12" s="1"/>
  <c r="D83" i="12"/>
  <c r="D87" i="12" s="1"/>
  <c r="D88" i="12" s="1"/>
  <c r="G83" i="12" s="1"/>
  <c r="N49" i="12"/>
  <c r="N50" i="12" s="1"/>
  <c r="N51" i="12" s="1"/>
  <c r="D59" i="12"/>
  <c r="D63" i="12" s="1"/>
  <c r="AD64" i="12" s="1"/>
  <c r="AD65" i="12" s="1"/>
  <c r="AC26" i="12" s="1"/>
  <c r="AD26" i="12" s="1"/>
  <c r="T56" i="10"/>
  <c r="T57" i="10" s="1"/>
  <c r="T58" i="10" s="1"/>
  <c r="N84" i="10"/>
  <c r="T69" i="10"/>
  <c r="T68" i="10"/>
  <c r="Y52" i="10"/>
  <c r="D67" i="10"/>
  <c r="D71" i="10" s="1"/>
  <c r="D72" i="10" s="1"/>
  <c r="G69" i="10" s="1"/>
  <c r="T81" i="10"/>
  <c r="T82" i="10" s="1"/>
  <c r="U47" i="10" s="1"/>
  <c r="D94" i="10"/>
  <c r="D98" i="10" s="1"/>
  <c r="D99" i="10" s="1"/>
  <c r="E92" i="10" s="1"/>
  <c r="D49" i="10"/>
  <c r="D53" i="10" s="1"/>
  <c r="D54" i="10" s="1"/>
  <c r="N65" i="10"/>
  <c r="N66" i="10" s="1"/>
  <c r="N67" i="10" s="1"/>
  <c r="D83" i="10"/>
  <c r="D87" i="10" s="1"/>
  <c r="D88" i="10" s="1"/>
  <c r="G83" i="10" s="1"/>
  <c r="N49" i="10"/>
  <c r="N50" i="10" s="1"/>
  <c r="N51" i="10" s="1"/>
  <c r="D59" i="10"/>
  <c r="D63" i="10" s="1"/>
  <c r="D64" i="10" s="1"/>
  <c r="U34" i="8"/>
  <c r="W34" i="8" s="1"/>
  <c r="T56" i="8"/>
  <c r="T57" i="8" s="1"/>
  <c r="T58" i="8" s="1"/>
  <c r="T69" i="8"/>
  <c r="T68" i="8"/>
  <c r="N81" i="8"/>
  <c r="N82" i="8" s="1"/>
  <c r="N83" i="8" s="1"/>
  <c r="D67" i="8"/>
  <c r="D71" i="8" s="1"/>
  <c r="D72" i="8" s="1"/>
  <c r="G69" i="8" s="1"/>
  <c r="T81" i="8"/>
  <c r="T82" i="8" s="1"/>
  <c r="U47" i="8" s="1"/>
  <c r="D94" i="8"/>
  <c r="D98" i="8" s="1"/>
  <c r="D99" i="8" s="1"/>
  <c r="E92" i="8" s="1"/>
  <c r="D49" i="8"/>
  <c r="D53" i="8" s="1"/>
  <c r="D54" i="8" s="1"/>
  <c r="N65" i="8"/>
  <c r="N66" i="8" s="1"/>
  <c r="N67" i="8" s="1"/>
  <c r="D83" i="8"/>
  <c r="D87" i="8" s="1"/>
  <c r="D88" i="8" s="1"/>
  <c r="G83" i="8" s="1"/>
  <c r="N49" i="8"/>
  <c r="N50" i="8" s="1"/>
  <c r="N51" i="8" s="1"/>
  <c r="D59" i="8"/>
  <c r="D63" i="8" s="1"/>
  <c r="D64" i="8" s="1"/>
  <c r="AD85" i="21" l="1"/>
  <c r="AD86" i="21"/>
  <c r="AD28" i="21" s="1"/>
  <c r="AD85" i="17"/>
  <c r="AD86" i="17"/>
  <c r="AD85" i="10"/>
  <c r="AC28" i="10" s="1"/>
  <c r="D88" i="15"/>
  <c r="G83" i="15" s="1"/>
  <c r="D99" i="15"/>
  <c r="E92" i="15" s="1"/>
  <c r="D64" i="15"/>
  <c r="T56" i="15"/>
  <c r="T57" i="15" s="1"/>
  <c r="T58" i="15" s="1"/>
  <c r="D72" i="15"/>
  <c r="G69" i="15" s="1"/>
  <c r="Y52" i="15"/>
  <c r="U47" i="22"/>
  <c r="D64" i="20"/>
  <c r="D99" i="20"/>
  <c r="E92" i="20" s="1"/>
  <c r="N66" i="19"/>
  <c r="N67" i="19" s="1"/>
  <c r="AC28" i="14"/>
  <c r="D88" i="18"/>
  <c r="G83" i="18" s="1"/>
  <c r="D99" i="18"/>
  <c r="E92" i="18" s="1"/>
  <c r="T69" i="18"/>
  <c r="D64" i="18"/>
  <c r="G64" i="18" s="1"/>
  <c r="E57" i="18" s="1"/>
  <c r="T56" i="18"/>
  <c r="T57" i="18" s="1"/>
  <c r="T58" i="18" s="1"/>
  <c r="N84" i="17"/>
  <c r="N84" i="12"/>
  <c r="D80" i="12"/>
  <c r="G77" i="12" s="1"/>
  <c r="AD73" i="22"/>
  <c r="AD74" i="22" s="1"/>
  <c r="AC27" i="22" s="1"/>
  <c r="AD27" i="22" s="1"/>
  <c r="AD55" i="14"/>
  <c r="AD56" i="14" s="1"/>
  <c r="AC25" i="14" s="1"/>
  <c r="AD25" i="14" s="1"/>
  <c r="AD64" i="14"/>
  <c r="AD65" i="14" s="1"/>
  <c r="AC26" i="14" s="1"/>
  <c r="AD26" i="14" s="1"/>
  <c r="AD73" i="10"/>
  <c r="AD74" i="10" s="1"/>
  <c r="AC27" i="10" s="1"/>
  <c r="AD27" i="10" s="1"/>
  <c r="AD55" i="10"/>
  <c r="AD56" i="10" s="1"/>
  <c r="AC25" i="10" s="1"/>
  <c r="AD55" i="22"/>
  <c r="AD56" i="22" s="1"/>
  <c r="AC25" i="22" s="1"/>
  <c r="AC29" i="22"/>
  <c r="AD29" i="22" s="1"/>
  <c r="G64" i="22"/>
  <c r="E57" i="22" s="1"/>
  <c r="AD25" i="22"/>
  <c r="N52" i="22"/>
  <c r="N59" i="22"/>
  <c r="G50" i="22"/>
  <c r="E48" i="22" s="1"/>
  <c r="AD28" i="22"/>
  <c r="AC28" i="22"/>
  <c r="N76" i="22"/>
  <c r="N68" i="22"/>
  <c r="AD64" i="22"/>
  <c r="AD65" i="22" s="1"/>
  <c r="AC26" i="22" s="1"/>
  <c r="AD26" i="22" s="1"/>
  <c r="N93" i="22"/>
  <c r="N84" i="22"/>
  <c r="Y52" i="21"/>
  <c r="D54" i="21"/>
  <c r="G50" i="21" s="1"/>
  <c r="E48" i="21" s="1"/>
  <c r="T81" i="21"/>
  <c r="T82" i="21" s="1"/>
  <c r="D64" i="21"/>
  <c r="G64" i="21" s="1"/>
  <c r="D72" i="21"/>
  <c r="G69" i="21" s="1"/>
  <c r="T56" i="21"/>
  <c r="T57" i="21" s="1"/>
  <c r="T58" i="21" s="1"/>
  <c r="N76" i="21"/>
  <c r="N68" i="21"/>
  <c r="AC28" i="21"/>
  <c r="AD25" i="21"/>
  <c r="N52" i="21"/>
  <c r="N59" i="21"/>
  <c r="AC29" i="21"/>
  <c r="AD29" i="21" s="1"/>
  <c r="AD73" i="21"/>
  <c r="AD74" i="21" s="1"/>
  <c r="AC27" i="21" s="1"/>
  <c r="AD27" i="21" s="1"/>
  <c r="T69" i="21"/>
  <c r="N89" i="21"/>
  <c r="N88" i="21"/>
  <c r="N90" i="21"/>
  <c r="AD64" i="21"/>
  <c r="AD65" i="21" s="1"/>
  <c r="AC26" i="21" s="1"/>
  <c r="AD26" i="21" s="1"/>
  <c r="D80" i="21"/>
  <c r="G77" i="21" s="1"/>
  <c r="G64" i="20"/>
  <c r="Y52" i="20"/>
  <c r="N52" i="20"/>
  <c r="N59" i="20"/>
  <c r="AD28" i="20"/>
  <c r="AC28" i="20"/>
  <c r="AC29" i="20"/>
  <c r="AD29" i="20" s="1"/>
  <c r="T81" i="20"/>
  <c r="T82" i="20" s="1"/>
  <c r="T69" i="20"/>
  <c r="N68" i="20"/>
  <c r="N76" i="20"/>
  <c r="D80" i="20"/>
  <c r="G77" i="20" s="1"/>
  <c r="D54" i="20"/>
  <c r="N89" i="20"/>
  <c r="N88" i="20"/>
  <c r="N90" i="20"/>
  <c r="D88" i="20"/>
  <c r="G83" i="20" s="1"/>
  <c r="D72" i="20"/>
  <c r="G69" i="20" s="1"/>
  <c r="AD55" i="20"/>
  <c r="AD56" i="20" s="1"/>
  <c r="AC25" i="20" s="1"/>
  <c r="AD64" i="20"/>
  <c r="AD65" i="20" s="1"/>
  <c r="AC26" i="20" s="1"/>
  <c r="AD26" i="20" s="1"/>
  <c r="T56" i="20"/>
  <c r="T57" i="20" s="1"/>
  <c r="T58" i="20" s="1"/>
  <c r="U47" i="20" s="1"/>
  <c r="N59" i="19"/>
  <c r="N52" i="19"/>
  <c r="N56" i="19" s="1"/>
  <c r="AD28" i="19"/>
  <c r="AC28" i="19"/>
  <c r="T81" i="19"/>
  <c r="T82" i="19" s="1"/>
  <c r="T69" i="19"/>
  <c r="AD73" i="19"/>
  <c r="AD74" i="19" s="1"/>
  <c r="AC27" i="19" s="1"/>
  <c r="AD27" i="19" s="1"/>
  <c r="D80" i="19"/>
  <c r="G77" i="19" s="1"/>
  <c r="G50" i="19"/>
  <c r="E48" i="19" s="1"/>
  <c r="AC29" i="19"/>
  <c r="AD29" i="19" s="1"/>
  <c r="AD55" i="19"/>
  <c r="AD56" i="19" s="1"/>
  <c r="AC25" i="19" s="1"/>
  <c r="AD64" i="19"/>
  <c r="AD65" i="19" s="1"/>
  <c r="AC26" i="19" s="1"/>
  <c r="AD26" i="19" s="1"/>
  <c r="Y52" i="19"/>
  <c r="G64" i="19"/>
  <c r="E57" i="19"/>
  <c r="N89" i="19"/>
  <c r="N91" i="19" s="1"/>
  <c r="N92" i="19" s="1"/>
  <c r="N90" i="19"/>
  <c r="T56" i="19"/>
  <c r="T57" i="19" s="1"/>
  <c r="T58" i="19" s="1"/>
  <c r="U47" i="19" s="1"/>
  <c r="AC29" i="15"/>
  <c r="AD29" i="15" s="1"/>
  <c r="N59" i="15"/>
  <c r="N52" i="15"/>
  <c r="N68" i="15"/>
  <c r="N76" i="15"/>
  <c r="AD28" i="15"/>
  <c r="AC28" i="15"/>
  <c r="AD73" i="15"/>
  <c r="AD74" i="15" s="1"/>
  <c r="AC27" i="15" s="1"/>
  <c r="AD27" i="15" s="1"/>
  <c r="N89" i="15"/>
  <c r="N88" i="15"/>
  <c r="N90" i="15"/>
  <c r="AD25" i="15"/>
  <c r="G64" i="15"/>
  <c r="D80" i="15"/>
  <c r="G77" i="15" s="1"/>
  <c r="T81" i="15"/>
  <c r="T82" i="15" s="1"/>
  <c r="U47" i="15" s="1"/>
  <c r="T69" i="15"/>
  <c r="AD64" i="15"/>
  <c r="AD65" i="15" s="1"/>
  <c r="AC26" i="15" s="1"/>
  <c r="AD26" i="15" s="1"/>
  <c r="N56" i="14"/>
  <c r="N57" i="14" s="1"/>
  <c r="N58" i="14" s="1"/>
  <c r="AH25" i="14"/>
  <c r="N89" i="14"/>
  <c r="N90" i="14"/>
  <c r="N88" i="14"/>
  <c r="AH24" i="14"/>
  <c r="N60" i="14"/>
  <c r="N73" i="14"/>
  <c r="N72" i="14"/>
  <c r="AC29" i="18"/>
  <c r="AD29" i="18" s="1"/>
  <c r="N68" i="18"/>
  <c r="N76" i="18"/>
  <c r="AD28" i="18"/>
  <c r="AC28" i="18"/>
  <c r="N59" i="18"/>
  <c r="N52" i="18"/>
  <c r="G50" i="18"/>
  <c r="E48" i="18" s="1"/>
  <c r="AD55" i="18"/>
  <c r="AD56" i="18" s="1"/>
  <c r="AC25" i="18" s="1"/>
  <c r="T81" i="18"/>
  <c r="T82" i="18" s="1"/>
  <c r="U47" i="18"/>
  <c r="AD64" i="18"/>
  <c r="AD65" i="18" s="1"/>
  <c r="AC26" i="18" s="1"/>
  <c r="AD26" i="18" s="1"/>
  <c r="N89" i="18"/>
  <c r="N88" i="18"/>
  <c r="N90" i="18"/>
  <c r="AD73" i="18"/>
  <c r="AD74" i="18" s="1"/>
  <c r="AC27" i="18" s="1"/>
  <c r="AD27" i="18" s="1"/>
  <c r="Y52" i="18"/>
  <c r="AC29" i="17"/>
  <c r="AD29" i="17" s="1"/>
  <c r="G50" i="17"/>
  <c r="E48" i="17"/>
  <c r="AD28" i="17"/>
  <c r="AC28" i="17"/>
  <c r="T81" i="17"/>
  <c r="T82" i="17" s="1"/>
  <c r="T69" i="17"/>
  <c r="AD55" i="17"/>
  <c r="AD56" i="17" s="1"/>
  <c r="AC25" i="17" s="1"/>
  <c r="N59" i="17"/>
  <c r="N52" i="17"/>
  <c r="D72" i="17"/>
  <c r="G69" i="17" s="1"/>
  <c r="AD73" i="17"/>
  <c r="AD74" i="17" s="1"/>
  <c r="AC27" i="17" s="1"/>
  <c r="AD27" i="17" s="1"/>
  <c r="AD64" i="17"/>
  <c r="AD65" i="17" s="1"/>
  <c r="AC26" i="17" s="1"/>
  <c r="AD26" i="17" s="1"/>
  <c r="G64" i="17"/>
  <c r="N68" i="17"/>
  <c r="N76" i="17"/>
  <c r="T56" i="17"/>
  <c r="T57" i="17" s="1"/>
  <c r="T58" i="17" s="1"/>
  <c r="U47" i="17" s="1"/>
  <c r="N89" i="17"/>
  <c r="N88" i="17"/>
  <c r="N90" i="17"/>
  <c r="Y52" i="17"/>
  <c r="N52" i="9"/>
  <c r="N59" i="9"/>
  <c r="N76" i="9"/>
  <c r="N68" i="9"/>
  <c r="Y52" i="9"/>
  <c r="D54" i="9"/>
  <c r="T81" i="9"/>
  <c r="T82" i="9" s="1"/>
  <c r="AD55" i="9"/>
  <c r="AD56" i="9" s="1"/>
  <c r="AC25" i="9" s="1"/>
  <c r="T69" i="9"/>
  <c r="AD73" i="9"/>
  <c r="AD74" i="9" s="1"/>
  <c r="AC27" i="9" s="1"/>
  <c r="AD27" i="9" s="1"/>
  <c r="AC28" i="9"/>
  <c r="AD28" i="9"/>
  <c r="N84" i="9"/>
  <c r="N93" i="9"/>
  <c r="D64" i="9"/>
  <c r="D80" i="9"/>
  <c r="G77" i="9" s="1"/>
  <c r="T56" i="9"/>
  <c r="T57" i="9" s="1"/>
  <c r="T58" i="9" s="1"/>
  <c r="U47" i="9" s="1"/>
  <c r="AC29" i="12"/>
  <c r="AD29" i="12" s="1"/>
  <c r="G50" i="12"/>
  <c r="E48" i="12" s="1"/>
  <c r="N89" i="12"/>
  <c r="N90" i="12"/>
  <c r="N88" i="12"/>
  <c r="N59" i="12"/>
  <c r="N52" i="12"/>
  <c r="AD28" i="12"/>
  <c r="AC28" i="12"/>
  <c r="AD55" i="12"/>
  <c r="AD56" i="12" s="1"/>
  <c r="AC25" i="12" s="1"/>
  <c r="T81" i="12"/>
  <c r="T82" i="12" s="1"/>
  <c r="D64" i="12"/>
  <c r="N68" i="12"/>
  <c r="N76" i="12"/>
  <c r="D99" i="12"/>
  <c r="E92" i="12" s="1"/>
  <c r="T56" i="12"/>
  <c r="T57" i="12" s="1"/>
  <c r="T58" i="12" s="1"/>
  <c r="T69" i="12"/>
  <c r="AD73" i="12"/>
  <c r="AD74" i="12" s="1"/>
  <c r="AC27" i="12" s="1"/>
  <c r="AD27" i="12" s="1"/>
  <c r="Y52" i="12"/>
  <c r="AC29" i="10"/>
  <c r="AD29" i="10" s="1"/>
  <c r="AD25" i="10"/>
  <c r="G64" i="10"/>
  <c r="E57" i="10" s="1"/>
  <c r="N76" i="10"/>
  <c r="N68" i="10"/>
  <c r="AD64" i="10"/>
  <c r="AD65" i="10" s="1"/>
  <c r="AC26" i="10" s="1"/>
  <c r="AD26" i="10" s="1"/>
  <c r="AD28" i="10"/>
  <c r="N52" i="10"/>
  <c r="N59" i="10"/>
  <c r="G50" i="10"/>
  <c r="E48" i="10" s="1"/>
  <c r="N89" i="10"/>
  <c r="N88" i="10"/>
  <c r="N90" i="10"/>
  <c r="AD73" i="8"/>
  <c r="AD74" i="8" s="1"/>
  <c r="AC27" i="8" s="1"/>
  <c r="AD27" i="8" s="1"/>
  <c r="AC29" i="8"/>
  <c r="AD29" i="8" s="1"/>
  <c r="AD28" i="8"/>
  <c r="AC28" i="8"/>
  <c r="AD64" i="8"/>
  <c r="AD65" i="8" s="1"/>
  <c r="AC26" i="8" s="1"/>
  <c r="AD26" i="8" s="1"/>
  <c r="G64" i="8"/>
  <c r="E57" i="8" s="1"/>
  <c r="N76" i="8"/>
  <c r="N68" i="8"/>
  <c r="N52" i="8"/>
  <c r="N59" i="8"/>
  <c r="G50" i="8"/>
  <c r="E48" i="8" s="1"/>
  <c r="AD55" i="8"/>
  <c r="AD56" i="8" s="1"/>
  <c r="AC25" i="8" s="1"/>
  <c r="N93" i="8"/>
  <c r="N84" i="8"/>
  <c r="O85" i="6"/>
  <c r="O69" i="6"/>
  <c r="T64" i="6"/>
  <c r="T67" i="6" s="1"/>
  <c r="O53" i="6"/>
  <c r="T55" i="6"/>
  <c r="AD50" i="6"/>
  <c r="D17" i="6"/>
  <c r="U34" i="6"/>
  <c r="W34" i="6" s="1"/>
  <c r="W32" i="6"/>
  <c r="W31" i="6"/>
  <c r="N25" i="6"/>
  <c r="N91" i="15" l="1"/>
  <c r="N92" i="15" s="1"/>
  <c r="N76" i="19"/>
  <c r="N68" i="19"/>
  <c r="N72" i="19" s="1"/>
  <c r="AD31" i="14"/>
  <c r="N91" i="10"/>
  <c r="N92" i="10" s="1"/>
  <c r="D59" i="6"/>
  <c r="D63" i="6" s="1"/>
  <c r="D64" i="6" s="1"/>
  <c r="G64" i="6" s="1"/>
  <c r="N51" i="6"/>
  <c r="D49" i="6"/>
  <c r="D53" i="6" s="1"/>
  <c r="D54" i="6" s="1"/>
  <c r="G50" i="6" s="1"/>
  <c r="D71" i="6"/>
  <c r="D72" i="6" s="1"/>
  <c r="D87" i="6"/>
  <c r="D88" i="6" s="1"/>
  <c r="N83" i="6"/>
  <c r="N93" i="6" s="1"/>
  <c r="AC31" i="14"/>
  <c r="AH26" i="14"/>
  <c r="N60" i="22"/>
  <c r="AH24" i="22"/>
  <c r="N73" i="22"/>
  <c r="N72" i="22"/>
  <c r="N56" i="22"/>
  <c r="N57" i="22" s="1"/>
  <c r="N58" i="22" s="1"/>
  <c r="AH25" i="22"/>
  <c r="AH26" i="22" s="1"/>
  <c r="AH32" i="22" s="1"/>
  <c r="N89" i="22"/>
  <c r="N88" i="22"/>
  <c r="N90" i="22"/>
  <c r="AD31" i="22"/>
  <c r="AC31" i="22"/>
  <c r="U47" i="21"/>
  <c r="N60" i="21"/>
  <c r="AH24" i="21"/>
  <c r="N91" i="21"/>
  <c r="N92" i="21" s="1"/>
  <c r="E57" i="21"/>
  <c r="N56" i="21"/>
  <c r="N57" i="21" s="1"/>
  <c r="N58" i="21" s="1"/>
  <c r="AH25" i="21"/>
  <c r="AD31" i="21"/>
  <c r="N73" i="21"/>
  <c r="N72" i="21"/>
  <c r="N74" i="21" s="1"/>
  <c r="N75" i="21" s="1"/>
  <c r="AC31" i="21"/>
  <c r="G50" i="20"/>
  <c r="E48" i="20" s="1"/>
  <c r="AC31" i="20"/>
  <c r="AD25" i="20"/>
  <c r="N91" i="20"/>
  <c r="N92" i="20" s="1"/>
  <c r="N60" i="20"/>
  <c r="AH24" i="20"/>
  <c r="E57" i="20"/>
  <c r="N73" i="20"/>
  <c r="N72" i="20"/>
  <c r="N56" i="20"/>
  <c r="N57" i="20" s="1"/>
  <c r="N58" i="20" s="1"/>
  <c r="AH25" i="20"/>
  <c r="AH26" i="20" s="1"/>
  <c r="AH32" i="20" s="1"/>
  <c r="AC31" i="19"/>
  <c r="AD25" i="19"/>
  <c r="N57" i="19"/>
  <c r="N58" i="19" s="1"/>
  <c r="AH25" i="19"/>
  <c r="N60" i="19"/>
  <c r="AH24" i="19"/>
  <c r="AD31" i="15"/>
  <c r="AC31" i="15"/>
  <c r="E57" i="15"/>
  <c r="N73" i="15"/>
  <c r="N72" i="15"/>
  <c r="N60" i="15"/>
  <c r="AH24" i="15"/>
  <c r="E48" i="15"/>
  <c r="D10" i="15" s="1"/>
  <c r="N56" i="15"/>
  <c r="N57" i="15" s="1"/>
  <c r="N58" i="15" s="1"/>
  <c r="AH25" i="15"/>
  <c r="AH26" i="15" s="1"/>
  <c r="AH32" i="15" s="1"/>
  <c r="N74" i="14"/>
  <c r="N75" i="14" s="1"/>
  <c r="N91" i="14"/>
  <c r="N92" i="14" s="1"/>
  <c r="N91" i="18"/>
  <c r="N92" i="18" s="1"/>
  <c r="N56" i="18"/>
  <c r="N57" i="18" s="1"/>
  <c r="N58" i="18" s="1"/>
  <c r="AH25" i="18"/>
  <c r="AC31" i="18"/>
  <c r="AD25" i="18"/>
  <c r="N60" i="18"/>
  <c r="AH24" i="18"/>
  <c r="N73" i="18"/>
  <c r="N72" i="18"/>
  <c r="N74" i="18" s="1"/>
  <c r="N75" i="18" s="1"/>
  <c r="N56" i="17"/>
  <c r="N57" i="17" s="1"/>
  <c r="N58" i="17" s="1"/>
  <c r="AH25" i="17"/>
  <c r="N91" i="17"/>
  <c r="N92" i="17" s="1"/>
  <c r="N60" i="17"/>
  <c r="AH24" i="17"/>
  <c r="E57" i="17"/>
  <c r="N73" i="17"/>
  <c r="N72" i="17"/>
  <c r="AC31" i="17"/>
  <c r="AD25" i="17"/>
  <c r="N88" i="9"/>
  <c r="N89" i="9"/>
  <c r="N90" i="9"/>
  <c r="G50" i="9"/>
  <c r="E48" i="9" s="1"/>
  <c r="N60" i="9"/>
  <c r="AH24" i="9"/>
  <c r="G64" i="9"/>
  <c r="E57" i="9" s="1"/>
  <c r="AC31" i="9"/>
  <c r="AD25" i="9"/>
  <c r="AH25" i="9"/>
  <c r="AH26" i="9" s="1"/>
  <c r="N56" i="9"/>
  <c r="N57" i="9" s="1"/>
  <c r="N58" i="9" s="1"/>
  <c r="N72" i="9"/>
  <c r="N73" i="9"/>
  <c r="N91" i="12"/>
  <c r="N92" i="12" s="1"/>
  <c r="N73" i="12"/>
  <c r="N72" i="12"/>
  <c r="N74" i="12" s="1"/>
  <c r="N75" i="12" s="1"/>
  <c r="AC31" i="12"/>
  <c r="AD25" i="12"/>
  <c r="N60" i="12"/>
  <c r="AH24" i="12"/>
  <c r="N56" i="12"/>
  <c r="N57" i="12" s="1"/>
  <c r="N58" i="12" s="1"/>
  <c r="AH25" i="12"/>
  <c r="U47" i="12"/>
  <c r="G64" i="12"/>
  <c r="E57" i="12" s="1"/>
  <c r="AC31" i="10"/>
  <c r="N56" i="10"/>
  <c r="N57" i="10" s="1"/>
  <c r="N58" i="10" s="1"/>
  <c r="AH25" i="10"/>
  <c r="N73" i="10"/>
  <c r="N72" i="10"/>
  <c r="AD31" i="10"/>
  <c r="AH24" i="10"/>
  <c r="N60" i="10"/>
  <c r="AD25" i="8"/>
  <c r="AC31" i="8"/>
  <c r="AH24" i="8"/>
  <c r="N60" i="8"/>
  <c r="N56" i="8"/>
  <c r="N57" i="8" s="1"/>
  <c r="N58" i="8" s="1"/>
  <c r="AH25" i="8"/>
  <c r="N89" i="8"/>
  <c r="N88" i="8"/>
  <c r="N90" i="8"/>
  <c r="N73" i="8"/>
  <c r="N72" i="8"/>
  <c r="N74" i="8" s="1"/>
  <c r="N75" i="8" s="1"/>
  <c r="AC29" i="6"/>
  <c r="N67" i="6"/>
  <c r="T58" i="6"/>
  <c r="T68" i="6"/>
  <c r="G77" i="6"/>
  <c r="D98" i="6"/>
  <c r="D99" i="6" s="1"/>
  <c r="E92" i="6" l="1"/>
  <c r="N74" i="19"/>
  <c r="N75" i="19" s="1"/>
  <c r="N73" i="19"/>
  <c r="AH30" i="14"/>
  <c r="N59" i="6"/>
  <c r="N60" i="6" s="1"/>
  <c r="N91" i="22"/>
  <c r="N92" i="22" s="1"/>
  <c r="AH33" i="20"/>
  <c r="AH29" i="14"/>
  <c r="AH33" i="14"/>
  <c r="AH32" i="14"/>
  <c r="AH31" i="14"/>
  <c r="AH26" i="18"/>
  <c r="AH32" i="18" s="1"/>
  <c r="N74" i="9"/>
  <c r="N75" i="9" s="1"/>
  <c r="AH31" i="22"/>
  <c r="AH30" i="22"/>
  <c r="AH29" i="22"/>
  <c r="N74" i="22"/>
  <c r="N75" i="22" s="1"/>
  <c r="AH33" i="22"/>
  <c r="AH26" i="21"/>
  <c r="AH30" i="21" s="1"/>
  <c r="AH31" i="21"/>
  <c r="AH29" i="21"/>
  <c r="N74" i="20"/>
  <c r="N75" i="20" s="1"/>
  <c r="AD31" i="20"/>
  <c r="AH31" i="20"/>
  <c r="AD31" i="19"/>
  <c r="AH26" i="19"/>
  <c r="N74" i="15"/>
  <c r="N75" i="15" s="1"/>
  <c r="AH31" i="15"/>
  <c r="AH30" i="15"/>
  <c r="AH29" i="15"/>
  <c r="AH33" i="15"/>
  <c r="AD31" i="18"/>
  <c r="AH31" i="18"/>
  <c r="AH33" i="18"/>
  <c r="N74" i="17"/>
  <c r="N75" i="17" s="1"/>
  <c r="AH26" i="17"/>
  <c r="AD31" i="17"/>
  <c r="AH32" i="9"/>
  <c r="AH33" i="9"/>
  <c r="AD31" i="9"/>
  <c r="AH31" i="9"/>
  <c r="N91" i="9"/>
  <c r="N92" i="9" s="1"/>
  <c r="AH26" i="12"/>
  <c r="AH31" i="12" s="1"/>
  <c r="AD31" i="12"/>
  <c r="AH26" i="10"/>
  <c r="N74" i="10"/>
  <c r="N75" i="10" s="1"/>
  <c r="AH26" i="8"/>
  <c r="AH31" i="8" s="1"/>
  <c r="AD31" i="8"/>
  <c r="N91" i="8"/>
  <c r="N92" i="8" s="1"/>
  <c r="G69" i="6"/>
  <c r="N84" i="6"/>
  <c r="N89" i="6" s="1"/>
  <c r="N76" i="6"/>
  <c r="AD26" i="6"/>
  <c r="AD28" i="6"/>
  <c r="AC28" i="6"/>
  <c r="AC31" i="6" s="1"/>
  <c r="AD29" i="6"/>
  <c r="AD27" i="6"/>
  <c r="AH25" i="6" l="1"/>
  <c r="AH26" i="6" s="1"/>
  <c r="AH32" i="21"/>
  <c r="AH33" i="21"/>
  <c r="AH30" i="20"/>
  <c r="AH29" i="20"/>
  <c r="AH32" i="19"/>
  <c r="AH33" i="19"/>
  <c r="AH31" i="19"/>
  <c r="AH30" i="19"/>
  <c r="AH29" i="19"/>
  <c r="AH30" i="18"/>
  <c r="AH29" i="18"/>
  <c r="AH32" i="17"/>
  <c r="AH33" i="17"/>
  <c r="AH31" i="17"/>
  <c r="AH30" i="17"/>
  <c r="AH29" i="17"/>
  <c r="AH29" i="9"/>
  <c r="AH30" i="9"/>
  <c r="AH30" i="12"/>
  <c r="AH29" i="12"/>
  <c r="AH32" i="12"/>
  <c r="AH33" i="12"/>
  <c r="AH32" i="10"/>
  <c r="AH31" i="10"/>
  <c r="AH33" i="10"/>
  <c r="AH30" i="10"/>
  <c r="AH29" i="10"/>
  <c r="AH29" i="8"/>
  <c r="AH30" i="8"/>
  <c r="AH32" i="8"/>
  <c r="AH33" i="8"/>
  <c r="E48" i="6"/>
  <c r="N90" i="6"/>
  <c r="N88" i="6"/>
  <c r="N72" i="6"/>
  <c r="N73" i="6"/>
  <c r="AD25" i="6"/>
  <c r="AH24" i="6"/>
  <c r="N58" i="6"/>
  <c r="D18" i="6" l="1"/>
  <c r="N91" i="6"/>
  <c r="N92" i="6" s="1"/>
  <c r="N74" i="6"/>
  <c r="N75" i="6" s="1"/>
  <c r="AH31" i="6"/>
  <c r="AD31" i="6"/>
  <c r="D19" i="6" l="1"/>
  <c r="AH29" i="6"/>
  <c r="AH30" i="6"/>
  <c r="AH32" i="6"/>
  <c r="AH33" i="6"/>
</calcChain>
</file>

<file path=xl/sharedStrings.xml><?xml version="1.0" encoding="utf-8"?>
<sst xmlns="http://schemas.openxmlformats.org/spreadsheetml/2006/main" count="5097" uniqueCount="319">
  <si>
    <t>Ifugao Circle Diagram</t>
  </si>
  <si>
    <t>Crop/Animal</t>
  </si>
  <si>
    <t>Productivity (kg/ha)</t>
  </si>
  <si>
    <t>Energy (Cal/kg)</t>
  </si>
  <si>
    <t>Energy Yield (Cal/ha)</t>
  </si>
  <si>
    <t>Wet Rice</t>
  </si>
  <si>
    <t>Taro (gabe)</t>
  </si>
  <si>
    <t>Arrowroot</t>
  </si>
  <si>
    <t>Breadfruit</t>
  </si>
  <si>
    <t>Squash (Kalabasa)</t>
  </si>
  <si>
    <t>Domestic Pig</t>
  </si>
  <si>
    <t>Chicken</t>
  </si>
  <si>
    <t>Dog</t>
  </si>
  <si>
    <t>Water Buffalo (Carabao)</t>
  </si>
  <si>
    <t>Wild Pig</t>
  </si>
  <si>
    <t>Wild Deer</t>
  </si>
  <si>
    <t>N/A</t>
  </si>
  <si>
    <t>Crops</t>
  </si>
  <si>
    <t>Notes</t>
  </si>
  <si>
    <t xml:space="preserve">Ritual sacrifice, </t>
  </si>
  <si>
    <t>Domestic Animals</t>
  </si>
  <si>
    <t>Wild Animals</t>
  </si>
  <si>
    <t>kcal from crop per person per yr</t>
  </si>
  <si>
    <t>save for planting next year (fraction)</t>
  </si>
  <si>
    <t>waste and loss (fraction)</t>
  </si>
  <si>
    <t>kcal/ha net</t>
  </si>
  <si>
    <t>area of crop needed per person (ha)</t>
  </si>
  <si>
    <t>area of crop needed per village (ha)</t>
  </si>
  <si>
    <t>Productivity and Calorimetry of Ifugao Foods</t>
  </si>
  <si>
    <t>human kcal per day</t>
  </si>
  <si>
    <t>human kcal per year</t>
  </si>
  <si>
    <t>Human Parameters</t>
  </si>
  <si>
    <t>OKV Settlement Data</t>
  </si>
  <si>
    <t>Population</t>
  </si>
  <si>
    <t>Parameter</t>
  </si>
  <si>
    <t>Value</t>
  </si>
  <si>
    <t>Source</t>
  </si>
  <si>
    <t>Households</t>
  </si>
  <si>
    <t>People per Household</t>
  </si>
  <si>
    <t>Hectares/person in village</t>
  </si>
  <si>
    <t>Estimated Area of Settlement (ha)</t>
  </si>
  <si>
    <t>Bray</t>
  </si>
  <si>
    <t>Yam (ubi)</t>
  </si>
  <si>
    <t>Combined area-------&gt;</t>
  </si>
  <si>
    <t>Proportion of Full Diet</t>
  </si>
  <si>
    <t>ANIMAL PARAMETERS</t>
  </si>
  <si>
    <t>Carabao Weight (kg)</t>
  </si>
  <si>
    <t>domestic pig weight (kg)</t>
  </si>
  <si>
    <t>kg meat needed per person per year</t>
  </si>
  <si>
    <t>area of pasture grasses necessary per person (ha)</t>
  </si>
  <si>
    <t>area of pasture legumes necessary per person (ha)</t>
  </si>
  <si>
    <t>kcal per person per year from carabao meat</t>
  </si>
  <si>
    <t xml:space="preserve">ratio of meat per cow from herd : cow weight </t>
  </si>
  <si>
    <t>ratio of meat per pig from herd: pig weight</t>
  </si>
  <si>
    <t>carabao per person</t>
  </si>
  <si>
    <t>kcal for carabao per year per person</t>
  </si>
  <si>
    <t>productivity</t>
  </si>
  <si>
    <t>caloric content</t>
  </si>
  <si>
    <t>energy per area</t>
  </si>
  <si>
    <t>(kg/ha)</t>
  </si>
  <si>
    <t>(kcal/kg)</t>
  </si>
  <si>
    <t>(kcal/ha)</t>
  </si>
  <si>
    <t>pasture grasses</t>
  </si>
  <si>
    <t>pasture legumes</t>
  </si>
  <si>
    <t>forest browse</t>
  </si>
  <si>
    <t>straw</t>
  </si>
  <si>
    <t>PIGS</t>
  </si>
  <si>
    <t>kcal per person per year from pig meat</t>
  </si>
  <si>
    <t>Pigs per person</t>
  </si>
  <si>
    <t>kcal for pig per year per person</t>
  </si>
  <si>
    <t>Forage Fraction of Pig Diet</t>
  </si>
  <si>
    <t>Area of forest necessary per person (ha)</t>
  </si>
  <si>
    <t>total area for pig per person (ha)</t>
  </si>
  <si>
    <t>total area for pigs per village (ha)</t>
  </si>
  <si>
    <t>total pigs per village</t>
  </si>
  <si>
    <t>HUNTING</t>
  </si>
  <si>
    <t>density (people/ha)</t>
  </si>
  <si>
    <t>ha/person</t>
  </si>
  <si>
    <t>Fuel wood for cooking</t>
  </si>
  <si>
    <t>wood caloric value (MJ/kg)</t>
  </si>
  <si>
    <t>per capita fuel wood consumption (GJ/capita/yr)</t>
  </si>
  <si>
    <t>average between India and Thai (kg wood/capita/yr)</t>
  </si>
  <si>
    <t>kg wood necessary for the whole village</t>
  </si>
  <si>
    <t xml:space="preserve">m2 of forest for wood production </t>
  </si>
  <si>
    <t>ha of forest for wood production</t>
  </si>
  <si>
    <t>average wood productivity in agroforestry (kg/m2)</t>
  </si>
  <si>
    <t>average wood productivity in agroforestry (t/ha)</t>
  </si>
  <si>
    <t>Iron per capita per year (kg)</t>
  </si>
  <si>
    <t>charcoal : iron ratio</t>
  </si>
  <si>
    <t>charcoal : wood ratio</t>
  </si>
  <si>
    <t>wood needed p. p. for iron (kg yr-1)</t>
  </si>
  <si>
    <t>wood needed p. p. for iron (GJ yr-1)</t>
  </si>
  <si>
    <t>wood for village from ironworking (kg)</t>
  </si>
  <si>
    <t>area for woodlot for iron (ha)</t>
  </si>
  <si>
    <t>Ceramics</t>
  </si>
  <si>
    <t>vessels per household per year</t>
  </si>
  <si>
    <t>average weight of a vessel (kg)</t>
  </si>
  <si>
    <t>weight of ceramics p.p. (kg yr-1)</t>
  </si>
  <si>
    <t>charcoal : ceramics ratio</t>
  </si>
  <si>
    <t>wood needed p. p. for ceramics per year (kg)</t>
  </si>
  <si>
    <t>wood needed p. p. for ceramics per year (GJ)</t>
  </si>
  <si>
    <t>wood for village from ceramics (kg)</t>
  </si>
  <si>
    <t>area for woodlot for ceramics (ha)</t>
  </si>
  <si>
    <t>Sauder and Williams 2002</t>
  </si>
  <si>
    <t>Area (ha)</t>
  </si>
  <si>
    <t>Settlement</t>
  </si>
  <si>
    <t>Total Hunting Land</t>
  </si>
  <si>
    <t>Swidden</t>
  </si>
  <si>
    <t>Agroforestry</t>
  </si>
  <si>
    <t>Combined Area</t>
  </si>
  <si>
    <t>NPP (g C m-2 yr-1)</t>
  </si>
  <si>
    <t>above ground fraction</t>
  </si>
  <si>
    <t>weed fraction</t>
  </si>
  <si>
    <t>Gregg 1988</t>
  </si>
  <si>
    <t>Harvest Index</t>
  </si>
  <si>
    <t>Waste per person (gC/yr)</t>
  </si>
  <si>
    <t>Yams</t>
  </si>
  <si>
    <t>Waste for Village (gC/yr)</t>
  </si>
  <si>
    <t>Above ground biomass (g C m^-2 yr-1)</t>
  </si>
  <si>
    <t>NPP (g C ha-1 yr-1)</t>
  </si>
  <si>
    <t>Taro</t>
  </si>
  <si>
    <t>Human Excrement</t>
  </si>
  <si>
    <t>n/a</t>
  </si>
  <si>
    <t>Total Caloric Need for all Pigs in Settlement</t>
  </si>
  <si>
    <t>Waste Fraction of Pig Diet</t>
  </si>
  <si>
    <t>Fraction of Deer that is Meat</t>
  </si>
  <si>
    <t>Weight of Deer (kg)</t>
  </si>
  <si>
    <t>Waste per Deer (kg)</t>
  </si>
  <si>
    <t>Calories per Deer for Humans</t>
  </si>
  <si>
    <t>Calories per Deer for Waste</t>
  </si>
  <si>
    <t>Calories from deer per person per year</t>
  </si>
  <si>
    <t>Deer consumed per person per year</t>
  </si>
  <si>
    <t>Deer consumed for village per year</t>
  </si>
  <si>
    <t>Deer Waste Generated in village per year (kg)</t>
  </si>
  <si>
    <t>Deer Meat</t>
  </si>
  <si>
    <t>Fraction of Fish that is Meat</t>
  </si>
  <si>
    <t>Weight of Fish (kg)</t>
  </si>
  <si>
    <t>Mudfish Meat</t>
  </si>
  <si>
    <t>Calories per Fish for Humans</t>
  </si>
  <si>
    <t>Calories from fish per person per year</t>
  </si>
  <si>
    <t>Fish consumed per person per year</t>
  </si>
  <si>
    <t>Fish consumed by village per year</t>
  </si>
  <si>
    <t>Fish Waste Generated in village per year (kg)</t>
  </si>
  <si>
    <t>Waste per Mudfish (kg)</t>
  </si>
  <si>
    <t>Caloric Value of Fish Waste Generated in village each year</t>
  </si>
  <si>
    <t>human excrement per day per person (kg)</t>
  </si>
  <si>
    <t>human excrement (kg excrement yr-1)</t>
  </si>
  <si>
    <t>kcal from human excrement per person yr-1</t>
  </si>
  <si>
    <t>kcal per kg of human excrement</t>
  </si>
  <si>
    <t>kcal from human excrement for whole village per year</t>
  </si>
  <si>
    <t>Human excrement for settlement (kg/yr)</t>
  </si>
  <si>
    <t>Rice Waste</t>
  </si>
  <si>
    <t>Waste Totals</t>
  </si>
  <si>
    <t>kg/yr</t>
  </si>
  <si>
    <t>Kcal/yr</t>
  </si>
  <si>
    <t>Yam Waste</t>
  </si>
  <si>
    <t>Taro Waste</t>
  </si>
  <si>
    <t>Deer Waste</t>
  </si>
  <si>
    <t>Fish Waste</t>
  </si>
  <si>
    <t>Human Waste</t>
  </si>
  <si>
    <t>Total</t>
  </si>
  <si>
    <t>Pigs in Village:</t>
  </si>
  <si>
    <t>Calories per pig per year</t>
  </si>
  <si>
    <t>Calories for all pigs per year</t>
  </si>
  <si>
    <t>Is Calories from waste greater than calories for pigs?</t>
  </si>
  <si>
    <t>Proportion of Pig Diet made from Waste:</t>
  </si>
  <si>
    <t xml:space="preserve">Type: </t>
  </si>
  <si>
    <t>Timepoint:</t>
  </si>
  <si>
    <t>SUMMARY OF LAND USE</t>
  </si>
  <si>
    <t>Item Number</t>
  </si>
  <si>
    <t>DIETARY &amp; POPULATION PARAMETERS</t>
  </si>
  <si>
    <t>Assume all shellfish and mudfish identical</t>
  </si>
  <si>
    <t>From Kay and Kaplan 2015</t>
  </si>
  <si>
    <t>CROPS</t>
  </si>
  <si>
    <t>Total Area:</t>
  </si>
  <si>
    <t>DOMESTIC ANIMALS</t>
  </si>
  <si>
    <t>CARABAO</t>
  </si>
  <si>
    <t>NOTES</t>
  </si>
  <si>
    <t>Kay and Kaplan 2015</t>
  </si>
  <si>
    <t>Feeds</t>
  </si>
  <si>
    <t>Fuel</t>
  </si>
  <si>
    <t>All cited in Kay and Kaplan 2015</t>
  </si>
  <si>
    <t>WOODLOT (FUEL)</t>
  </si>
  <si>
    <t>All constants cited in Kay and Kaplan 2015</t>
  </si>
  <si>
    <t>Iron Working</t>
  </si>
  <si>
    <t>WASTE FOR SETTLEMENT</t>
  </si>
  <si>
    <t>Plant Waste ME (kcal/kg)</t>
  </si>
  <si>
    <t>Deer Waste Generated in village per year (kcal)</t>
  </si>
  <si>
    <t>FALLOW PERIODS</t>
  </si>
  <si>
    <t>Terrace Fields:</t>
  </si>
  <si>
    <t>0 years</t>
  </si>
  <si>
    <t>Swidden Fields:</t>
  </si>
  <si>
    <t>6 years</t>
  </si>
  <si>
    <t>Fallow Years</t>
  </si>
  <si>
    <t>Active Years</t>
  </si>
  <si>
    <t>All years</t>
  </si>
  <si>
    <t>3 years</t>
  </si>
  <si>
    <t>Total Fuel:</t>
  </si>
  <si>
    <t>Above ground biomass (g C ha^-1 yr-1)</t>
  </si>
  <si>
    <t>1/.45 converts C to dry matter</t>
  </si>
  <si>
    <t>Waste per person (g dry matter/yr)</t>
  </si>
  <si>
    <t>Waste for Village (g dry matter/yr)</t>
  </si>
  <si>
    <t>India per capita fuel wood consumption (kg/capita/yr)</t>
  </si>
  <si>
    <t>Thai per capita wood consumption (kg/capita/yr)</t>
  </si>
  <si>
    <t>Thai per capita energy comsumption (GJ/capita/yr)</t>
  </si>
  <si>
    <t>Thai per capita energy comsumption (MJ/capita/yr)</t>
  </si>
  <si>
    <t>Surplus Fraction</t>
  </si>
  <si>
    <t>Area for Surplus</t>
  </si>
  <si>
    <t>Starch %:</t>
  </si>
  <si>
    <t>Grasses, twigs only. Maher 1984</t>
  </si>
  <si>
    <t>Surplus Fraction:</t>
  </si>
  <si>
    <t>SUM TOTAL INTENSIVE LAND</t>
  </si>
  <si>
    <t>Terracing (Payo)</t>
  </si>
  <si>
    <t>Active Swidden Fields (Uma)</t>
  </si>
  <si>
    <t>Fallow Swidden Fields (Uma)</t>
  </si>
  <si>
    <t>Agroforestry (Muyong)</t>
  </si>
  <si>
    <t>Woodlot (Fuel) (Muyong)</t>
  </si>
  <si>
    <t>Chicken Eggs</t>
  </si>
  <si>
    <t>M&amp;F Ave</t>
  </si>
  <si>
    <t>Density of CAR (people/100 km2)</t>
  </si>
  <si>
    <t>hunting area (ha)</t>
  </si>
  <si>
    <t>fraction of diet from wild game</t>
  </si>
  <si>
    <t>Raw leaves are poisonous. Cooked, they are consumable</t>
  </si>
  <si>
    <t>Taro Boiled Leaves (kcal/kg)</t>
  </si>
  <si>
    <t>USDA</t>
  </si>
  <si>
    <t>CINE, Morong Aetas, Sweet Potato Leaves</t>
  </si>
  <si>
    <t>Hartemink et al 2000</t>
  </si>
  <si>
    <t>Russell and Brown 1998, Hartemink et al 2000</t>
  </si>
  <si>
    <t>Note, Deer waste is a high estimate.</t>
  </si>
  <si>
    <t>Includes head, skin, innards, legs. These parts may not have returned to the village.</t>
  </si>
  <si>
    <t>Field dressing would have removed several portions</t>
  </si>
  <si>
    <t>Default for Root crops (Taro and Yam)</t>
  </si>
  <si>
    <t>Default, mid-estimate for harvest yield of grains and intensely cultivated plants (0.4-0.6)</t>
  </si>
  <si>
    <t>Aggregate of adult fish and fry (which are consumed whole)</t>
  </si>
  <si>
    <t>agriculture.com.ph</t>
  </si>
  <si>
    <t>If Deer and Fish Excluded?</t>
  </si>
  <si>
    <t>If Deer, Fish, and Taro Excluded?</t>
  </si>
  <si>
    <t>If Deer, Fish, Taro, and Rice Excluded?</t>
  </si>
  <si>
    <t>Forest Browse (Pigs)</t>
  </si>
  <si>
    <t>Sub-Population Name</t>
  </si>
  <si>
    <t>Sub-Population Number of People</t>
  </si>
  <si>
    <t>Ratios from Kay and Kaplan 2015</t>
  </si>
  <si>
    <t>Ritual animal,</t>
  </si>
  <si>
    <t>ALL ANIMALS DISTRIBUTED DURING FEASTS, USE FULL POPULATION!</t>
  </si>
  <si>
    <t>MUYONG PRIVATELY OWNED, COMMUNALLY USED FOR FUEL. TOTAL POP. NEEDS DETERMINE TOTAL MUYONG AREA</t>
  </si>
  <si>
    <t>Proportion of taro in terraces</t>
  </si>
  <si>
    <t>Terrace taro (ha)</t>
  </si>
  <si>
    <t>Squash (kalabasa)</t>
  </si>
  <si>
    <t>Proportion of Squash on Terrace Bunding</t>
  </si>
  <si>
    <t>Terrace Squash (ha)</t>
  </si>
  <si>
    <t>Estimate</t>
  </si>
  <si>
    <t>Category</t>
  </si>
  <si>
    <t>Tier</t>
  </si>
  <si>
    <t>ALL LAND</t>
  </si>
  <si>
    <t>total area for carabao per person (ha)</t>
  </si>
  <si>
    <t>total area for carabao per village (ha)</t>
  </si>
  <si>
    <t>total carabao per village</t>
  </si>
  <si>
    <t>GOATS</t>
  </si>
  <si>
    <t>pasture grasses fraction of carabao diet</t>
  </si>
  <si>
    <t>pasture legumes fraction of carabao diet</t>
  </si>
  <si>
    <t>straw fraction of carabao diet</t>
  </si>
  <si>
    <t>kcal per person per year from goat meat</t>
  </si>
  <si>
    <t>goat per person</t>
  </si>
  <si>
    <t>kcal for goat per year per person</t>
  </si>
  <si>
    <t>pasture grasses fraction of goat diet</t>
  </si>
  <si>
    <t>pasture legumes fraction of goat diet</t>
  </si>
  <si>
    <t>total area for goat per person (ha)</t>
  </si>
  <si>
    <t>total area for goat per village (ha)</t>
  </si>
  <si>
    <t>Goat</t>
  </si>
  <si>
    <t>Goat Weight (kg)</t>
  </si>
  <si>
    <t>forest browse fraction of goat diet</t>
  </si>
  <si>
    <t>area of forest necessary per person (ha)</t>
  </si>
  <si>
    <t>total goat per village</t>
  </si>
  <si>
    <t>ratio of meat per goat from herd: goat weight</t>
  </si>
  <si>
    <t>kay and kaplan 2015, derived from Gregg 1988</t>
  </si>
  <si>
    <t>Gregg 1988, p. 122: 40 kg usable meat (which is 30% of live weight) per year / litter size of 6 per year / neolithic pig weight of 30 kg.</t>
  </si>
  <si>
    <t>Purple Yam</t>
  </si>
  <si>
    <t>Squashes</t>
  </si>
  <si>
    <t>Garden Foods (Settlement/Bunding)</t>
  </si>
  <si>
    <t>Small Terrestrial Game (Reptiles, Birds)</t>
  </si>
  <si>
    <t>Fish and Shellfish</t>
  </si>
  <si>
    <t>Sweet Potato (Camote)</t>
  </si>
  <si>
    <t>All People</t>
  </si>
  <si>
    <t>Molano (Scott 1974)</t>
  </si>
  <si>
    <t>See Section 3.3.1</t>
  </si>
  <si>
    <t xml:space="preserve">Pastureland </t>
  </si>
  <si>
    <t>System cited from:</t>
  </si>
  <si>
    <t>1903 Census</t>
  </si>
  <si>
    <t>Template</t>
  </si>
  <si>
    <t>?</t>
  </si>
  <si>
    <t>Not yet grown, pericolonialism</t>
  </si>
  <si>
    <t>Not yet grown, comes from Manila Galleons</t>
  </si>
  <si>
    <t>Primary ritual starch, pericolonialism</t>
  </si>
  <si>
    <t>Low Population</t>
  </si>
  <si>
    <t>High Yield Rice</t>
  </si>
  <si>
    <t>Only Yams/No Camote</t>
  </si>
  <si>
    <t>Poor Rice Harvest</t>
  </si>
  <si>
    <t>Hunting Using Binford Density</t>
  </si>
  <si>
    <t>With Goats</t>
  </si>
  <si>
    <t>No Carabao Herd</t>
  </si>
  <si>
    <t>All carabao are purchased</t>
  </si>
  <si>
    <t>All carabao Purchased</t>
  </si>
  <si>
    <t>Kadangyan Family Land Use</t>
  </si>
  <si>
    <t>Hypothetical Kadangyan, no root crops</t>
  </si>
  <si>
    <t>Nawotwot Family Land Use</t>
  </si>
  <si>
    <t>Starch</t>
  </si>
  <si>
    <t>Slightly increased</t>
  </si>
  <si>
    <t>Hypothetical Nawotwot, no rice</t>
  </si>
  <si>
    <t>Hypothetical Nawotwot, fewer pigs</t>
  </si>
  <si>
    <t>Hypothetical Nawotwot, no carabao</t>
  </si>
  <si>
    <t>Binford</t>
  </si>
  <si>
    <t>Banana</t>
  </si>
  <si>
    <t>Taro (aba)</t>
  </si>
  <si>
    <t>Sweet Potato (gattuk)</t>
  </si>
  <si>
    <t>Squash</t>
  </si>
  <si>
    <t>Sweet Potato</t>
  </si>
  <si>
    <t>NOTE: SWEET POTATOES NOT INCLUDED</t>
  </si>
  <si>
    <t>Fish from Payo plus river.</t>
  </si>
  <si>
    <t>Yam (iuktu)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</si>
</sst>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libri (Body)"/>
    </font>
    <font>
      <sz val="12"/>
      <color rgb="FF000000"/>
      <name val="Calibri"/>
      <family val="2"/>
      <scheme val="minor"/>
    </font>
    <font>
      <i/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3" fillId="0" borderId="0" xfId="0" applyFont="1"/>
    <xf numFmtId="0" fontId="4" fillId="0" borderId="0" xfId="0" applyFont="1"/>
    <xf numFmtId="0" fontId="1" fillId="0" borderId="0" xfId="0" applyFont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0" xfId="0" applyFill="1" applyBorder="1"/>
    <xf numFmtId="0" fontId="1" fillId="0" borderId="0" xfId="0" applyFont="1" applyBorder="1"/>
    <xf numFmtId="2" fontId="0" fillId="0" borderId="0" xfId="0" applyNumberFormat="1"/>
    <xf numFmtId="0" fontId="1" fillId="0" borderId="0" xfId="0" applyFont="1" applyBorder="1" applyAlignment="1">
      <alignment wrapText="1"/>
    </xf>
    <xf numFmtId="2" fontId="0" fillId="0" borderId="0" xfId="0" applyNumberFormat="1" applyBorder="1"/>
    <xf numFmtId="0" fontId="2" fillId="0" borderId="0" xfId="0" applyFont="1"/>
    <xf numFmtId="1" fontId="0" fillId="0" borderId="0" xfId="0" applyNumberFormat="1"/>
    <xf numFmtId="11" fontId="0" fillId="0" borderId="0" xfId="0" applyNumberFormat="1"/>
    <xf numFmtId="0" fontId="4" fillId="0" borderId="6" xfId="0" applyFont="1" applyBorder="1"/>
    <xf numFmtId="0" fontId="3" fillId="0" borderId="1" xfId="0" applyFont="1" applyBorder="1"/>
    <xf numFmtId="0" fontId="1" fillId="0" borderId="4" xfId="0" applyFont="1" applyBorder="1"/>
    <xf numFmtId="0" fontId="1" fillId="0" borderId="5" xfId="0" applyFont="1" applyBorder="1"/>
    <xf numFmtId="0" fontId="0" fillId="0" borderId="8" xfId="0" applyBorder="1"/>
    <xf numFmtId="0" fontId="5" fillId="0" borderId="0" xfId="0" applyFont="1" applyBorder="1"/>
    <xf numFmtId="0" fontId="1" fillId="0" borderId="0" xfId="0" applyFont="1" applyAlignment="1">
      <alignment horizontal="center"/>
    </xf>
    <xf numFmtId="0" fontId="0" fillId="0" borderId="1" xfId="0" applyBorder="1"/>
    <xf numFmtId="0" fontId="3" fillId="0" borderId="0" xfId="0" applyFont="1" applyBorder="1"/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right"/>
    </xf>
    <xf numFmtId="0" fontId="0" fillId="0" borderId="0" xfId="0" applyAlignment="1">
      <alignment horizontal="right"/>
    </xf>
    <xf numFmtId="0" fontId="5" fillId="0" borderId="4" xfId="0" applyFont="1" applyBorder="1"/>
    <xf numFmtId="0" fontId="2" fillId="0" borderId="0" xfId="0" applyFont="1" applyBorder="1"/>
    <xf numFmtId="0" fontId="1" fillId="0" borderId="0" xfId="0" applyFont="1" applyBorder="1" applyAlignment="1">
      <alignment horizontal="right"/>
    </xf>
    <xf numFmtId="0" fontId="7" fillId="0" borderId="0" xfId="0" applyFont="1"/>
    <xf numFmtId="0" fontId="8" fillId="0" borderId="0" xfId="0" applyFont="1"/>
    <xf numFmtId="11" fontId="0" fillId="0" borderId="0" xfId="0" applyNumberFormat="1" applyBorder="1"/>
    <xf numFmtId="0" fontId="6" fillId="0" borderId="4" xfId="0" applyFont="1" applyBorder="1"/>
    <xf numFmtId="0" fontId="1" fillId="0" borderId="4" xfId="0" applyFont="1" applyBorder="1" applyAlignment="1">
      <alignment horizontal="center"/>
    </xf>
    <xf numFmtId="0" fontId="0" fillId="0" borderId="0" xfId="0" applyFont="1" applyFill="1" applyBorder="1" applyAlignment="1">
      <alignment horizontal="left"/>
    </xf>
    <xf numFmtId="0" fontId="1" fillId="0" borderId="0" xfId="0" applyFont="1" applyFill="1" applyBorder="1"/>
    <xf numFmtId="2" fontId="0" fillId="0" borderId="6" xfId="0" applyNumberFormat="1" applyBorder="1"/>
    <xf numFmtId="0" fontId="1" fillId="0" borderId="5" xfId="0" applyFont="1" applyBorder="1" applyAlignment="1">
      <alignment horizontal="center"/>
    </xf>
    <xf numFmtId="0" fontId="2" fillId="0" borderId="0" xfId="0" applyFont="1" applyFill="1" applyBorder="1"/>
    <xf numFmtId="0" fontId="3" fillId="0" borderId="4" xfId="0" applyFont="1" applyBorder="1"/>
    <xf numFmtId="0" fontId="0" fillId="0" borderId="0" xfId="0" applyFont="1"/>
    <xf numFmtId="0" fontId="0" fillId="0" borderId="6" xfId="0" applyFill="1" applyBorder="1"/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11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11" fontId="1" fillId="0" borderId="0" xfId="0" applyNumberFormat="1" applyFont="1"/>
    <xf numFmtId="0" fontId="0" fillId="0" borderId="0" xfId="0" applyAlignment="1">
      <alignment horizontal="center"/>
    </xf>
    <xf numFmtId="0" fontId="0" fillId="0" borderId="0" xfId="0" applyFont="1" applyFill="1" applyBorder="1"/>
    <xf numFmtId="2" fontId="1" fillId="0" borderId="0" xfId="0" applyNumberFormat="1" applyFont="1" applyBorder="1"/>
    <xf numFmtId="0" fontId="1" fillId="0" borderId="6" xfId="0" applyFont="1" applyBorder="1"/>
    <xf numFmtId="0" fontId="1" fillId="0" borderId="6" xfId="0" applyFont="1" applyBorder="1" applyAlignment="1">
      <alignment horizontal="right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E2C05B-3A26-3C4F-9915-B4D3ACE126F3}">
  <dimension ref="A1:AI106"/>
  <sheetViews>
    <sheetView workbookViewId="0">
      <selection activeCell="AD71" sqref="AD71"/>
    </sheetView>
  </sheetViews>
  <sheetFormatPr baseColWidth="10" defaultRowHeight="16" x14ac:dyDescent="0.2"/>
  <cols>
    <col min="1" max="1" width="13.33203125" customWidth="1"/>
    <col min="2" max="2" width="14" customWidth="1"/>
    <col min="3" max="3" width="34.6640625" customWidth="1"/>
    <col min="4" max="4" width="19" customWidth="1"/>
    <col min="6" max="6" width="15" customWidth="1"/>
    <col min="13" max="13" width="43.5" customWidth="1"/>
    <col min="18" max="18" width="14.6640625" customWidth="1"/>
    <col min="19" max="19" width="43.83203125" customWidth="1"/>
    <col min="20" max="20" width="17.5" customWidth="1"/>
    <col min="22" max="22" width="14.5" customWidth="1"/>
    <col min="23" max="23" width="23.5" customWidth="1"/>
    <col min="24" max="24" width="33" customWidth="1"/>
    <col min="27" max="27" width="22.83203125" bestFit="1" customWidth="1"/>
    <col min="28" max="28" width="13.33203125" customWidth="1"/>
    <col min="29" max="29" width="50.1640625" bestFit="1" customWidth="1"/>
    <col min="30" max="30" width="12.1640625" bestFit="1" customWidth="1"/>
    <col min="33" max="33" width="45.6640625" bestFit="1" customWidth="1"/>
  </cols>
  <sheetData>
    <row r="1" spans="1:5" ht="21" x14ac:dyDescent="0.25">
      <c r="A1" s="2" t="s">
        <v>0</v>
      </c>
    </row>
    <row r="2" spans="1:5" ht="21" x14ac:dyDescent="0.25">
      <c r="A2" s="2" t="s">
        <v>167</v>
      </c>
      <c r="B2" s="2">
        <v>1800</v>
      </c>
    </row>
    <row r="3" spans="1:5" s="9" customFormat="1" ht="21" x14ac:dyDescent="0.25">
      <c r="A3" s="19" t="s">
        <v>166</v>
      </c>
      <c r="B3" s="19" t="s">
        <v>288</v>
      </c>
    </row>
    <row r="7" spans="1:5" ht="19" x14ac:dyDescent="0.25">
      <c r="B7" s="20" t="s">
        <v>168</v>
      </c>
      <c r="C7" s="4"/>
      <c r="D7" s="4"/>
      <c r="E7" s="5"/>
    </row>
    <row r="8" spans="1:5" x14ac:dyDescent="0.2">
      <c r="B8" s="21" t="s">
        <v>169</v>
      </c>
      <c r="C8" s="12" t="s">
        <v>251</v>
      </c>
      <c r="D8" s="12" t="s">
        <v>104</v>
      </c>
      <c r="E8" s="22" t="s">
        <v>252</v>
      </c>
    </row>
    <row r="9" spans="1:5" x14ac:dyDescent="0.2">
      <c r="B9" s="6">
        <v>1</v>
      </c>
      <c r="C9" s="7" t="s">
        <v>105</v>
      </c>
      <c r="D9" s="15">
        <f>N34*(N38/N31)</f>
        <v>5.5500000000000007</v>
      </c>
      <c r="E9" s="8">
        <v>1</v>
      </c>
    </row>
    <row r="10" spans="1:5" x14ac:dyDescent="0.2">
      <c r="B10" s="6">
        <v>2</v>
      </c>
      <c r="C10" s="7" t="s">
        <v>212</v>
      </c>
      <c r="D10" s="15">
        <f>E48+G69</f>
        <v>112.31717880032849</v>
      </c>
      <c r="E10" s="8">
        <v>2</v>
      </c>
    </row>
    <row r="11" spans="1:5" x14ac:dyDescent="0.2">
      <c r="B11" s="6">
        <v>3</v>
      </c>
      <c r="C11" s="7" t="s">
        <v>213</v>
      </c>
      <c r="D11" s="15">
        <f>E57</f>
        <v>120.10827171695908</v>
      </c>
      <c r="E11" s="8">
        <v>3</v>
      </c>
    </row>
    <row r="12" spans="1:5" x14ac:dyDescent="0.2">
      <c r="B12" s="6">
        <v>4</v>
      </c>
      <c r="C12" s="7" t="s">
        <v>214</v>
      </c>
      <c r="D12" s="15">
        <f>D11/(1/3)-D11</f>
        <v>240.21654343391819</v>
      </c>
      <c r="E12" s="8">
        <v>4</v>
      </c>
    </row>
    <row r="13" spans="1:5" x14ac:dyDescent="0.2">
      <c r="B13" s="6">
        <v>5</v>
      </c>
      <c r="C13" s="7" t="s">
        <v>285</v>
      </c>
      <c r="D13" s="15">
        <f>N75+N92</f>
        <v>92.940110282809684</v>
      </c>
      <c r="E13" s="8">
        <v>4</v>
      </c>
    </row>
    <row r="14" spans="1:5" x14ac:dyDescent="0.2">
      <c r="B14" s="6">
        <v>6</v>
      </c>
      <c r="C14" s="7" t="s">
        <v>215</v>
      </c>
      <c r="D14" s="15">
        <f>E92</f>
        <v>6.0417759828016253</v>
      </c>
      <c r="E14" s="8">
        <v>5</v>
      </c>
    </row>
    <row r="15" spans="1:5" x14ac:dyDescent="0.2">
      <c r="B15" s="6">
        <v>7</v>
      </c>
      <c r="C15" s="7" t="s">
        <v>216</v>
      </c>
      <c r="D15" s="15">
        <f>U47</f>
        <v>85.199999999999989</v>
      </c>
      <c r="E15" s="8">
        <v>5</v>
      </c>
    </row>
    <row r="16" spans="1:5" x14ac:dyDescent="0.2">
      <c r="B16" s="6">
        <v>8</v>
      </c>
      <c r="C16" s="7" t="s">
        <v>238</v>
      </c>
      <c r="D16" s="15">
        <f>N58</f>
        <v>60.675686759809338</v>
      </c>
      <c r="E16" s="8">
        <v>6</v>
      </c>
    </row>
    <row r="17" spans="1:35" x14ac:dyDescent="0.2">
      <c r="B17" s="6">
        <v>9</v>
      </c>
      <c r="C17" s="7" t="s">
        <v>106</v>
      </c>
      <c r="D17" s="15">
        <f>Y52</f>
        <v>1389.99584304</v>
      </c>
      <c r="E17" s="8">
        <v>6</v>
      </c>
    </row>
    <row r="18" spans="1:35" x14ac:dyDescent="0.2">
      <c r="B18" s="6">
        <v>10</v>
      </c>
      <c r="C18" s="7" t="s">
        <v>211</v>
      </c>
      <c r="D18" s="15">
        <f>SUM(D9:D15)+D16</f>
        <v>723.04956697662635</v>
      </c>
      <c r="E18" s="8" t="s">
        <v>16</v>
      </c>
    </row>
    <row r="19" spans="1:35" x14ac:dyDescent="0.2">
      <c r="B19" s="23">
        <v>11</v>
      </c>
      <c r="C19" s="46" t="s">
        <v>253</v>
      </c>
      <c r="D19" s="41">
        <f>SUM(D9:D17)</f>
        <v>2113.0454100166262</v>
      </c>
      <c r="E19" s="10" t="s">
        <v>16</v>
      </c>
    </row>
    <row r="21" spans="1:35" s="4" customFormat="1" x14ac:dyDescent="0.2">
      <c r="A21" s="26"/>
      <c r="K21" s="5"/>
      <c r="Q21" s="5"/>
      <c r="R21" s="26"/>
      <c r="Z21" s="5"/>
      <c r="AA21" s="26"/>
      <c r="AI21" s="5"/>
    </row>
    <row r="22" spans="1:35" ht="19" x14ac:dyDescent="0.25">
      <c r="A22" s="27" t="s">
        <v>170</v>
      </c>
      <c r="C22" s="7"/>
      <c r="D22" s="7"/>
      <c r="E22" s="7"/>
      <c r="F22" s="7"/>
      <c r="G22" s="7"/>
      <c r="H22" s="7"/>
      <c r="I22" s="7"/>
      <c r="J22" s="7"/>
      <c r="K22" s="8"/>
      <c r="L22" s="7"/>
      <c r="M22" s="7"/>
      <c r="N22" s="7"/>
      <c r="O22" s="7"/>
      <c r="P22" s="7"/>
      <c r="Q22" s="8"/>
      <c r="R22" s="6"/>
      <c r="S22" s="7"/>
      <c r="T22" s="7"/>
      <c r="U22" s="7"/>
      <c r="V22" s="7"/>
      <c r="W22" s="7"/>
      <c r="X22" s="7"/>
      <c r="Y22" s="7"/>
      <c r="Z22" s="8"/>
      <c r="AA22" s="6"/>
      <c r="AB22" s="7"/>
      <c r="AC22" s="7"/>
      <c r="AD22" s="7"/>
      <c r="AE22" s="7"/>
      <c r="AF22" s="7"/>
      <c r="AG22" s="7"/>
      <c r="AH22" s="7"/>
      <c r="AI22" s="8"/>
    </row>
    <row r="23" spans="1:35" ht="19" x14ac:dyDescent="0.25">
      <c r="A23" s="24" t="s">
        <v>28</v>
      </c>
      <c r="C23" s="7"/>
      <c r="D23" s="7"/>
      <c r="E23" s="7"/>
      <c r="F23" s="7"/>
      <c r="G23" s="7"/>
      <c r="H23" s="7"/>
      <c r="I23" s="7"/>
      <c r="J23" s="7"/>
      <c r="K23" s="8"/>
      <c r="L23" s="24" t="s">
        <v>31</v>
      </c>
      <c r="N23" s="7"/>
      <c r="O23" s="7"/>
      <c r="P23" s="7"/>
      <c r="Q23" s="8"/>
      <c r="R23" s="31" t="s">
        <v>45</v>
      </c>
      <c r="S23" s="7"/>
      <c r="T23" s="7"/>
      <c r="U23" s="7"/>
      <c r="V23" s="7"/>
      <c r="W23" s="7"/>
      <c r="X23" s="7"/>
      <c r="Y23" s="7"/>
      <c r="Z23" s="8"/>
      <c r="AA23" s="31" t="s">
        <v>152</v>
      </c>
      <c r="AB23" s="7"/>
      <c r="AC23" s="7"/>
      <c r="AD23" s="7"/>
      <c r="AE23" s="7"/>
      <c r="AF23" s="7"/>
      <c r="AG23" s="7"/>
      <c r="AH23" s="7"/>
      <c r="AI23" s="8"/>
    </row>
    <row r="24" spans="1:35" ht="34" x14ac:dyDescent="0.2">
      <c r="A24" s="6"/>
      <c r="B24" s="50"/>
      <c r="C24" s="50" t="s">
        <v>1</v>
      </c>
      <c r="D24" s="50" t="s">
        <v>2</v>
      </c>
      <c r="E24" s="47" t="s">
        <v>3</v>
      </c>
      <c r="F24" s="47" t="s">
        <v>4</v>
      </c>
      <c r="G24" s="48" t="s">
        <v>44</v>
      </c>
      <c r="H24" t="s">
        <v>18</v>
      </c>
      <c r="I24" s="7"/>
      <c r="J24" s="7"/>
      <c r="K24" s="8"/>
      <c r="L24" s="7"/>
      <c r="M24" s="7" t="s">
        <v>29</v>
      </c>
      <c r="N24" s="7">
        <v>2234</v>
      </c>
      <c r="O24" s="7" t="s">
        <v>172</v>
      </c>
      <c r="P24" s="7"/>
      <c r="Q24" s="8"/>
      <c r="R24" s="6"/>
      <c r="S24" s="33" t="s">
        <v>47</v>
      </c>
      <c r="T24" s="28">
        <v>45</v>
      </c>
      <c r="U24" s="7"/>
      <c r="V24" s="7"/>
      <c r="W24" s="14" t="s">
        <v>52</v>
      </c>
      <c r="X24" s="28">
        <v>7.3599999999999999E-2</v>
      </c>
      <c r="Y24" s="7" t="s">
        <v>274</v>
      </c>
      <c r="Z24" s="8"/>
      <c r="AA24" s="6"/>
      <c r="AB24" s="7"/>
      <c r="AC24" s="12" t="s">
        <v>153</v>
      </c>
      <c r="AD24" s="12" t="s">
        <v>154</v>
      </c>
      <c r="AE24" s="7"/>
      <c r="AF24" s="7"/>
      <c r="AG24" s="7" t="s">
        <v>161</v>
      </c>
      <c r="AH24" s="7">
        <f>N59</f>
        <v>391.23754978607303</v>
      </c>
      <c r="AI24" s="8"/>
    </row>
    <row r="25" spans="1:35" ht="34" x14ac:dyDescent="0.2">
      <c r="A25" s="6"/>
      <c r="B25" s="61" t="s">
        <v>17</v>
      </c>
      <c r="C25" t="s">
        <v>5</v>
      </c>
      <c r="D25" s="50">
        <v>1650</v>
      </c>
      <c r="E25" s="50">
        <v>3540</v>
      </c>
      <c r="F25" s="49">
        <f>D25*E25</f>
        <v>5841000</v>
      </c>
      <c r="G25" s="50">
        <v>0.32</v>
      </c>
      <c r="I25" s="7"/>
      <c r="L25" s="7"/>
      <c r="M25" s="7" t="s">
        <v>30</v>
      </c>
      <c r="N25" s="7">
        <f>N24*365</f>
        <v>815410</v>
      </c>
      <c r="O25" s="7"/>
      <c r="P25" s="7"/>
      <c r="Q25" s="8"/>
      <c r="R25" s="6"/>
      <c r="S25" s="33" t="s">
        <v>46</v>
      </c>
      <c r="T25" s="28">
        <v>436</v>
      </c>
      <c r="U25" s="32" t="s">
        <v>218</v>
      </c>
      <c r="V25" s="7"/>
      <c r="W25" s="14" t="s">
        <v>53</v>
      </c>
      <c r="X25" s="28">
        <v>0.222</v>
      </c>
      <c r="Y25" s="32" t="s">
        <v>275</v>
      </c>
      <c r="Z25" s="8"/>
      <c r="AA25" s="6"/>
      <c r="AB25" s="12" t="s">
        <v>151</v>
      </c>
      <c r="AC25" s="36">
        <f>AD56/1000</f>
        <v>594641.71070220461</v>
      </c>
      <c r="AD25" s="36">
        <f>AC25*$AB$39</f>
        <v>285428021.1370582</v>
      </c>
      <c r="AE25" s="7"/>
      <c r="AF25" s="7"/>
      <c r="AG25" s="7" t="s">
        <v>162</v>
      </c>
      <c r="AH25" s="7">
        <f>N52/N51</f>
        <v>579475.04789838311</v>
      </c>
      <c r="AI25" s="8"/>
    </row>
    <row r="26" spans="1:35" ht="34" x14ac:dyDescent="0.2">
      <c r="A26" s="6"/>
      <c r="B26" s="61"/>
      <c r="C26" t="s">
        <v>315</v>
      </c>
      <c r="D26" s="50">
        <v>6000</v>
      </c>
      <c r="E26" s="50">
        <v>1320</v>
      </c>
      <c r="F26" s="49">
        <f t="shared" ref="F26:F32" si="0">D26*E26</f>
        <v>7920000</v>
      </c>
      <c r="G26" s="50">
        <v>0.21</v>
      </c>
      <c r="I26" s="7"/>
      <c r="J26" s="7"/>
      <c r="K26" s="8"/>
      <c r="L26" s="7"/>
      <c r="M26" s="7"/>
      <c r="N26" s="7"/>
      <c r="O26" s="7"/>
      <c r="P26" s="7"/>
      <c r="Q26" s="8"/>
      <c r="R26" s="6"/>
      <c r="S26" s="33" t="s">
        <v>269</v>
      </c>
      <c r="T26" s="28">
        <v>35</v>
      </c>
      <c r="U26" s="7"/>
      <c r="V26" s="7"/>
      <c r="W26" s="14" t="s">
        <v>273</v>
      </c>
      <c r="X26" s="28">
        <v>0.113</v>
      </c>
      <c r="Y26" s="7" t="s">
        <v>274</v>
      </c>
      <c r="Z26" s="8"/>
      <c r="AA26" s="6"/>
      <c r="AB26" s="12" t="s">
        <v>155</v>
      </c>
      <c r="AC26" s="36">
        <f>AD65/1000</f>
        <v>266191.02366315789</v>
      </c>
      <c r="AD26" s="36">
        <f>AC26*$AB$39</f>
        <v>127771691.35831578</v>
      </c>
      <c r="AE26" s="7"/>
      <c r="AF26" s="7"/>
      <c r="AG26" s="7" t="s">
        <v>163</v>
      </c>
      <c r="AH26" s="36">
        <f>AH25*AH24</f>
        <v>226712397.90193072</v>
      </c>
      <c r="AI26" s="8"/>
    </row>
    <row r="27" spans="1:35" ht="16" customHeight="1" x14ac:dyDescent="0.2">
      <c r="A27" s="6"/>
      <c r="B27" s="61"/>
      <c r="C27" t="s">
        <v>120</v>
      </c>
      <c r="D27" s="50">
        <v>2000</v>
      </c>
      <c r="E27" s="50">
        <v>1110</v>
      </c>
      <c r="F27" s="49">
        <f t="shared" si="0"/>
        <v>2220000</v>
      </c>
      <c r="G27" s="50">
        <v>2.1999999999999999E-2</v>
      </c>
      <c r="I27" s="7"/>
      <c r="J27" s="7"/>
      <c r="K27" s="8"/>
      <c r="L27" s="9"/>
      <c r="M27" s="9"/>
      <c r="N27" s="9"/>
      <c r="O27" s="9"/>
      <c r="P27" s="9"/>
      <c r="Q27" s="10"/>
      <c r="R27" s="6"/>
      <c r="S27" s="7"/>
      <c r="T27" s="7"/>
      <c r="U27" s="7"/>
      <c r="V27" s="7"/>
      <c r="W27" s="7"/>
      <c r="X27" s="7"/>
      <c r="Y27" s="7"/>
      <c r="Z27" s="8"/>
      <c r="AA27" s="6"/>
      <c r="AB27" s="12" t="s">
        <v>156</v>
      </c>
      <c r="AC27" s="36">
        <f>AD74/1000</f>
        <v>56326.066285549561</v>
      </c>
      <c r="AD27" s="36">
        <f>AC27*AB40</f>
        <v>13574581.974817444</v>
      </c>
      <c r="AE27" s="7"/>
      <c r="AF27" s="7"/>
      <c r="AG27" s="7"/>
      <c r="AH27" s="7"/>
      <c r="AI27" s="8"/>
    </row>
    <row r="28" spans="1:35" x14ac:dyDescent="0.2">
      <c r="A28" s="6"/>
      <c r="B28" s="61"/>
      <c r="C28" t="s">
        <v>276</v>
      </c>
      <c r="D28" s="50">
        <v>5000</v>
      </c>
      <c r="E28" s="50">
        <v>950</v>
      </c>
      <c r="F28" s="49">
        <f t="shared" si="0"/>
        <v>4750000</v>
      </c>
      <c r="G28" s="50">
        <v>0.21</v>
      </c>
      <c r="I28" s="7"/>
      <c r="J28" s="7"/>
      <c r="K28" s="8"/>
      <c r="L28" s="7"/>
      <c r="M28" s="7"/>
      <c r="N28" s="7"/>
      <c r="O28" s="7"/>
      <c r="P28" s="7"/>
      <c r="Q28" s="8"/>
      <c r="R28" s="6"/>
      <c r="S28" s="7"/>
      <c r="T28" s="7"/>
      <c r="Y28" s="7"/>
      <c r="Z28" s="8"/>
      <c r="AA28" s="6"/>
      <c r="AB28" s="12" t="s">
        <v>157</v>
      </c>
      <c r="AC28" s="36">
        <f>AD85</f>
        <v>25691.866188074458</v>
      </c>
      <c r="AD28" s="36">
        <f>AD86</f>
        <v>22865760.907386266</v>
      </c>
      <c r="AE28" s="7"/>
      <c r="AF28" s="7"/>
      <c r="AG28" s="7"/>
      <c r="AH28" s="7"/>
      <c r="AI28" s="8"/>
    </row>
    <row r="29" spans="1:35" ht="19" x14ac:dyDescent="0.25">
      <c r="A29" s="6"/>
      <c r="B29" s="61"/>
      <c r="C29" t="s">
        <v>311</v>
      </c>
      <c r="D29" s="50">
        <v>5070</v>
      </c>
      <c r="E29" s="50">
        <v>1080</v>
      </c>
      <c r="F29" s="49">
        <f t="shared" si="0"/>
        <v>5475600</v>
      </c>
      <c r="G29" s="50">
        <v>2.5000000000000001E-2</v>
      </c>
      <c r="I29" s="7"/>
      <c r="J29" s="7"/>
      <c r="K29" s="8"/>
      <c r="L29" s="24" t="s">
        <v>32</v>
      </c>
      <c r="N29" s="7"/>
      <c r="O29" s="7"/>
      <c r="P29" s="7"/>
      <c r="Q29" s="8"/>
      <c r="R29" s="6"/>
      <c r="S29" s="7"/>
      <c r="T29" s="7"/>
      <c r="U29" s="28" t="s">
        <v>56</v>
      </c>
      <c r="V29" s="28" t="s">
        <v>57</v>
      </c>
      <c r="W29" s="28" t="s">
        <v>58</v>
      </c>
      <c r="X29" s="7"/>
      <c r="Y29" s="7"/>
      <c r="Z29" s="8"/>
      <c r="AA29" s="6"/>
      <c r="AB29" s="12" t="s">
        <v>158</v>
      </c>
      <c r="AC29" s="36">
        <f>AD95</f>
        <v>7440.2069076305206</v>
      </c>
      <c r="AD29" s="36">
        <f t="shared" ref="AD29" si="1">AC29*$AB$39</f>
        <v>3571299.3156626499</v>
      </c>
      <c r="AE29" s="7"/>
      <c r="AF29" s="7"/>
      <c r="AG29" s="7" t="s">
        <v>164</v>
      </c>
      <c r="AH29" s="7" t="str">
        <f>IF(AD31&gt;AH26,"YES","NO")</f>
        <v>YES</v>
      </c>
      <c r="AI29" s="8"/>
    </row>
    <row r="30" spans="1:35" x14ac:dyDescent="0.2">
      <c r="A30" s="6"/>
      <c r="B30" s="61"/>
      <c r="C30" t="s">
        <v>7</v>
      </c>
      <c r="D30" s="49" t="s">
        <v>16</v>
      </c>
      <c r="E30" s="49" t="s">
        <v>16</v>
      </c>
      <c r="F30" s="49" t="s">
        <v>16</v>
      </c>
      <c r="G30" s="50">
        <v>0</v>
      </c>
      <c r="I30" s="7"/>
      <c r="J30" s="7"/>
      <c r="K30" s="8"/>
      <c r="L30" s="7"/>
      <c r="M30" s="12" t="s">
        <v>34</v>
      </c>
      <c r="N30" s="12" t="s">
        <v>35</v>
      </c>
      <c r="O30" s="12" t="s">
        <v>36</v>
      </c>
      <c r="P30" s="7"/>
      <c r="Q30" s="8"/>
      <c r="R30" s="6"/>
      <c r="T30" s="12"/>
      <c r="U30" s="28" t="s">
        <v>59</v>
      </c>
      <c r="V30" s="28" t="s">
        <v>60</v>
      </c>
      <c r="W30" s="28" t="s">
        <v>61</v>
      </c>
      <c r="X30" s="7" t="s">
        <v>177</v>
      </c>
      <c r="Y30" s="7"/>
      <c r="Z30" s="8"/>
      <c r="AA30" s="6"/>
      <c r="AB30" s="12" t="s">
        <v>159</v>
      </c>
      <c r="AC30" s="36">
        <f>AD103</f>
        <v>207320</v>
      </c>
      <c r="AD30" s="36">
        <f>AD104</f>
        <v>184514800</v>
      </c>
      <c r="AE30" s="7"/>
      <c r="AF30" s="7"/>
      <c r="AG30" s="7" t="s">
        <v>165</v>
      </c>
      <c r="AH30" s="15">
        <f>AD31/AH26</f>
        <v>2.8129302172927586</v>
      </c>
      <c r="AI30" s="8"/>
    </row>
    <row r="31" spans="1:35" x14ac:dyDescent="0.2">
      <c r="A31" s="6"/>
      <c r="B31" s="61"/>
      <c r="C31" t="s">
        <v>8</v>
      </c>
      <c r="D31" s="50" t="s">
        <v>16</v>
      </c>
      <c r="E31" s="49" t="s">
        <v>16</v>
      </c>
      <c r="F31" s="49" t="s">
        <v>16</v>
      </c>
      <c r="G31" s="50">
        <v>0</v>
      </c>
      <c r="I31" s="7"/>
      <c r="J31" s="7"/>
      <c r="K31" s="8"/>
      <c r="L31" s="7"/>
      <c r="M31" s="12" t="s">
        <v>33</v>
      </c>
      <c r="N31" s="12">
        <f>N32*N33</f>
        <v>1136</v>
      </c>
      <c r="O31" s="7"/>
      <c r="P31" s="7"/>
      <c r="Q31" s="8"/>
      <c r="R31" s="6"/>
      <c r="S31" s="33" t="s">
        <v>179</v>
      </c>
      <c r="T31" s="12" t="s">
        <v>62</v>
      </c>
      <c r="U31" s="7">
        <v>700</v>
      </c>
      <c r="V31" s="7">
        <v>1452</v>
      </c>
      <c r="W31" s="7">
        <f>U31*V31</f>
        <v>1016400</v>
      </c>
      <c r="X31" s="32" t="s">
        <v>178</v>
      </c>
      <c r="Y31" s="7"/>
      <c r="Z31" s="8"/>
      <c r="AA31" s="6"/>
      <c r="AB31" s="12" t="s">
        <v>160</v>
      </c>
      <c r="AC31" s="36">
        <f>SUM(AC25:AC30)</f>
        <v>1157610.873746617</v>
      </c>
      <c r="AD31" s="36">
        <f>SUM(AD25:AD30)</f>
        <v>637726154.69324028</v>
      </c>
      <c r="AE31" s="7"/>
      <c r="AF31" s="7"/>
      <c r="AG31" s="11" t="s">
        <v>235</v>
      </c>
      <c r="AH31" s="15">
        <f>(AD25+AD26+AD27+AD30)/AH26</f>
        <v>2.6963196548898822</v>
      </c>
      <c r="AI31" s="8"/>
    </row>
    <row r="32" spans="1:35" x14ac:dyDescent="0.2">
      <c r="A32" s="6"/>
      <c r="B32" s="61"/>
      <c r="C32" t="s">
        <v>277</v>
      </c>
      <c r="D32" s="50">
        <v>12000</v>
      </c>
      <c r="E32" s="50">
        <v>410</v>
      </c>
      <c r="F32" s="49">
        <f t="shared" si="0"/>
        <v>4920000</v>
      </c>
      <c r="G32" s="50">
        <v>1.4999999999999999E-2</v>
      </c>
      <c r="I32" s="7"/>
      <c r="J32" s="7"/>
      <c r="K32" s="8"/>
      <c r="L32" s="7"/>
      <c r="M32" s="7" t="s">
        <v>37</v>
      </c>
      <c r="N32" s="7">
        <v>284</v>
      </c>
      <c r="O32" s="7" t="s">
        <v>283</v>
      </c>
      <c r="P32" s="7"/>
      <c r="Q32" s="8"/>
      <c r="R32" s="6"/>
      <c r="S32" s="7"/>
      <c r="T32" s="12" t="s">
        <v>63</v>
      </c>
      <c r="U32" s="7">
        <v>700</v>
      </c>
      <c r="V32" s="7">
        <v>2151</v>
      </c>
      <c r="W32" s="7">
        <f>U32*V32</f>
        <v>1505700</v>
      </c>
      <c r="X32" s="32" t="s">
        <v>178</v>
      </c>
      <c r="Y32" s="7"/>
      <c r="Z32" s="8"/>
      <c r="AA32" s="6"/>
      <c r="AB32" s="7"/>
      <c r="AC32" s="7"/>
      <c r="AD32" s="7"/>
      <c r="AE32" s="7"/>
      <c r="AF32" s="7"/>
      <c r="AG32" s="11" t="s">
        <v>236</v>
      </c>
      <c r="AH32" s="15">
        <f>(SUM(AD25:AD26)+AD30)/AH26</f>
        <v>2.6364438735014755</v>
      </c>
      <c r="AI32" s="8"/>
    </row>
    <row r="33" spans="1:35" x14ac:dyDescent="0.2">
      <c r="A33" s="6"/>
      <c r="B33" s="61"/>
      <c r="C33" t="s">
        <v>278</v>
      </c>
      <c r="D33" s="49" t="s">
        <v>16</v>
      </c>
      <c r="E33" s="49" t="s">
        <v>16</v>
      </c>
      <c r="F33" s="49" t="s">
        <v>16</v>
      </c>
      <c r="G33" s="50">
        <v>3.5000000000000003E-2</v>
      </c>
      <c r="I33" s="7"/>
      <c r="J33" s="7"/>
      <c r="K33" s="8"/>
      <c r="L33" s="7"/>
      <c r="M33" s="7" t="s">
        <v>38</v>
      </c>
      <c r="N33" s="7">
        <v>4</v>
      </c>
      <c r="O33" s="7"/>
      <c r="P33" s="7"/>
      <c r="Q33" s="8"/>
      <c r="R33" s="6"/>
      <c r="S33" s="7"/>
      <c r="T33" s="12" t="s">
        <v>64</v>
      </c>
      <c r="U33" s="7"/>
      <c r="V33" s="7"/>
      <c r="W33" s="7">
        <v>373646.2</v>
      </c>
      <c r="X33" s="32" t="s">
        <v>178</v>
      </c>
      <c r="Y33" s="7"/>
      <c r="Z33" s="8"/>
      <c r="AA33" s="6"/>
      <c r="AB33" s="7"/>
      <c r="AC33" s="7"/>
      <c r="AD33" s="7"/>
      <c r="AE33" s="7"/>
      <c r="AF33" s="7"/>
      <c r="AG33" s="11" t="s">
        <v>237</v>
      </c>
      <c r="AH33" s="15">
        <f>(AD26+AD30)/AH26</f>
        <v>1.3774566113204005</v>
      </c>
      <c r="AI33" s="8"/>
    </row>
    <row r="34" spans="1:35" ht="16" customHeight="1" x14ac:dyDescent="0.2">
      <c r="A34" s="6"/>
      <c r="B34" s="63" t="s">
        <v>20</v>
      </c>
      <c r="C34" t="s">
        <v>10</v>
      </c>
      <c r="D34" s="50" t="s">
        <v>16</v>
      </c>
      <c r="E34" s="50">
        <v>2370</v>
      </c>
      <c r="F34" s="50" t="s">
        <v>16</v>
      </c>
      <c r="G34" s="50">
        <v>0.01</v>
      </c>
      <c r="H34" t="s">
        <v>19</v>
      </c>
      <c r="I34" s="7"/>
      <c r="J34" s="7"/>
      <c r="K34" s="8"/>
      <c r="L34" s="7"/>
      <c r="M34" s="12" t="s">
        <v>40</v>
      </c>
      <c r="N34" s="12">
        <f>3.39+2.16</f>
        <v>5.5500000000000007</v>
      </c>
      <c r="O34" s="7" t="s">
        <v>284</v>
      </c>
      <c r="P34" s="7"/>
      <c r="Q34" s="8"/>
      <c r="R34" s="6"/>
      <c r="S34" s="7"/>
      <c r="T34" s="12" t="s">
        <v>65</v>
      </c>
      <c r="U34" s="7">
        <f>N31*3</f>
        <v>3408</v>
      </c>
      <c r="V34" s="7">
        <v>1122</v>
      </c>
      <c r="W34" s="7">
        <f>U34*V34</f>
        <v>3823776</v>
      </c>
      <c r="X34" s="32" t="s">
        <v>178</v>
      </c>
      <c r="Y34" s="7"/>
      <c r="Z34" s="8"/>
      <c r="AA34" s="6"/>
      <c r="AB34" s="7"/>
      <c r="AC34" s="7"/>
      <c r="AD34" s="7"/>
      <c r="AE34" s="7"/>
      <c r="AF34" s="7"/>
      <c r="AG34" s="12" t="s">
        <v>316</v>
      </c>
      <c r="AH34" s="7"/>
      <c r="AI34" s="8"/>
    </row>
    <row r="35" spans="1:35" ht="16" customHeight="1" x14ac:dyDescent="0.2">
      <c r="A35" s="6"/>
      <c r="B35" s="63"/>
      <c r="C35" t="s">
        <v>11</v>
      </c>
      <c r="D35" s="50" t="s">
        <v>16</v>
      </c>
      <c r="E35" s="50">
        <v>1730</v>
      </c>
      <c r="F35" s="50" t="s">
        <v>16</v>
      </c>
      <c r="G35" s="50">
        <v>0.01</v>
      </c>
      <c r="H35" t="s">
        <v>19</v>
      </c>
      <c r="I35" s="7"/>
      <c r="J35" s="7"/>
      <c r="K35" s="8"/>
      <c r="L35" s="7"/>
      <c r="M35" s="7" t="s">
        <v>39</v>
      </c>
      <c r="N35" s="7">
        <f>N34/N31</f>
        <v>4.8855633802816906E-3</v>
      </c>
      <c r="O35" s="7"/>
      <c r="P35" s="7"/>
      <c r="Q35" s="8"/>
      <c r="R35" s="6"/>
      <c r="S35" s="7"/>
      <c r="T35" s="12" t="s">
        <v>121</v>
      </c>
      <c r="U35" s="7" t="s">
        <v>122</v>
      </c>
      <c r="V35" s="7">
        <v>890</v>
      </c>
      <c r="W35" s="7" t="s">
        <v>122</v>
      </c>
      <c r="X35" s="43" t="s">
        <v>113</v>
      </c>
      <c r="Y35" s="7"/>
      <c r="Z35" s="8"/>
      <c r="AA35" s="6"/>
      <c r="AB35" s="7"/>
      <c r="AC35" s="7"/>
      <c r="AD35" s="7"/>
      <c r="AE35" s="7"/>
      <c r="AF35" s="7"/>
      <c r="AG35" s="7"/>
      <c r="AH35" s="7"/>
      <c r="AI35" s="8"/>
    </row>
    <row r="36" spans="1:35" x14ac:dyDescent="0.2">
      <c r="A36" s="6"/>
      <c r="B36" s="63"/>
      <c r="C36" t="s">
        <v>12</v>
      </c>
      <c r="D36" s="50" t="s">
        <v>16</v>
      </c>
      <c r="E36" s="50">
        <v>1201</v>
      </c>
      <c r="F36" s="50" t="s">
        <v>16</v>
      </c>
      <c r="G36" s="50">
        <v>5.0000000000000001E-3</v>
      </c>
      <c r="I36" s="7"/>
      <c r="J36" s="7"/>
      <c r="K36" s="8"/>
      <c r="L36" s="7"/>
      <c r="M36" s="7"/>
      <c r="N36" s="7"/>
      <c r="O36" s="7"/>
      <c r="P36" s="7"/>
      <c r="Q36" s="8"/>
      <c r="R36" s="6"/>
      <c r="S36" s="7"/>
      <c r="T36" s="7"/>
      <c r="U36" s="7"/>
      <c r="V36" s="7"/>
      <c r="W36" s="7"/>
      <c r="X36" s="7"/>
      <c r="Y36" s="7"/>
      <c r="Z36" s="8"/>
      <c r="AA36" s="6"/>
      <c r="AB36" s="7"/>
      <c r="AC36" s="7"/>
      <c r="AD36" s="7"/>
      <c r="AE36" s="7"/>
      <c r="AF36" s="7"/>
      <c r="AG36" s="7"/>
      <c r="AH36" s="7"/>
      <c r="AI36" s="8"/>
    </row>
    <row r="37" spans="1:35" x14ac:dyDescent="0.2">
      <c r="A37" s="6"/>
      <c r="B37" s="63"/>
      <c r="C37" t="s">
        <v>13</v>
      </c>
      <c r="D37" s="50" t="s">
        <v>16</v>
      </c>
      <c r="E37" s="50">
        <v>1340</v>
      </c>
      <c r="F37" s="50" t="s">
        <v>16</v>
      </c>
      <c r="G37" s="50">
        <v>1E-3</v>
      </c>
      <c r="H37" t="s">
        <v>242</v>
      </c>
      <c r="I37" s="7"/>
      <c r="J37" s="7"/>
      <c r="K37" s="8"/>
      <c r="L37" s="7"/>
      <c r="M37" s="40" t="s">
        <v>239</v>
      </c>
      <c r="N37" s="12" t="s">
        <v>282</v>
      </c>
      <c r="O37" s="7"/>
      <c r="P37" s="7"/>
      <c r="Q37" s="8"/>
      <c r="R37" s="6"/>
      <c r="S37" s="7"/>
      <c r="T37" s="7"/>
      <c r="U37" s="7"/>
      <c r="V37" s="7"/>
      <c r="W37" s="7"/>
      <c r="X37" s="7"/>
      <c r="Y37" s="7"/>
      <c r="Z37" s="8"/>
      <c r="AB37" s="7"/>
      <c r="AC37" s="34"/>
      <c r="AD37" s="34"/>
      <c r="AF37" s="7"/>
      <c r="AG37" s="7"/>
      <c r="AH37" s="7"/>
      <c r="AI37" s="8"/>
    </row>
    <row r="38" spans="1:35" x14ac:dyDescent="0.2">
      <c r="A38" s="6"/>
      <c r="B38" s="63"/>
      <c r="C38" t="s">
        <v>268</v>
      </c>
      <c r="D38" s="50" t="s">
        <v>16</v>
      </c>
      <c r="E38" s="50">
        <v>1480</v>
      </c>
      <c r="F38" s="50" t="s">
        <v>16</v>
      </c>
      <c r="G38" s="50">
        <v>0</v>
      </c>
      <c r="I38" s="7"/>
      <c r="J38" s="7"/>
      <c r="K38" s="8"/>
      <c r="L38" s="7"/>
      <c r="M38" s="40" t="s">
        <v>240</v>
      </c>
      <c r="N38" s="12">
        <f>N31</f>
        <v>1136</v>
      </c>
      <c r="O38" s="7"/>
      <c r="P38" s="7"/>
      <c r="Q38" s="8"/>
      <c r="R38" s="6"/>
      <c r="S38" s="7"/>
      <c r="T38" s="7"/>
      <c r="U38" s="7"/>
      <c r="V38" s="7"/>
      <c r="W38" s="7"/>
      <c r="X38" s="7"/>
      <c r="Y38" s="7"/>
      <c r="Z38" s="8"/>
      <c r="AB38" s="7"/>
      <c r="AC38" s="34"/>
      <c r="AD38" s="34"/>
      <c r="AF38" s="7"/>
      <c r="AG38" s="7"/>
      <c r="AH38" s="7"/>
      <c r="AI38" s="8"/>
    </row>
    <row r="39" spans="1:35" ht="16" customHeight="1" x14ac:dyDescent="0.2">
      <c r="A39" s="6"/>
      <c r="B39" s="63"/>
      <c r="C39" t="s">
        <v>217</v>
      </c>
      <c r="D39" s="50" t="s">
        <v>16</v>
      </c>
      <c r="E39" s="50">
        <v>1600</v>
      </c>
      <c r="F39" s="50" t="s">
        <v>16</v>
      </c>
      <c r="G39" s="50">
        <v>1.4E-2</v>
      </c>
      <c r="I39" s="7"/>
      <c r="J39" s="7"/>
      <c r="K39" s="8"/>
      <c r="L39" s="23"/>
      <c r="M39" s="9"/>
      <c r="N39" s="9"/>
      <c r="O39" s="9"/>
      <c r="P39" s="9"/>
      <c r="Q39" s="10"/>
      <c r="R39" s="6"/>
      <c r="S39" s="7"/>
      <c r="T39" s="7"/>
      <c r="U39" s="7"/>
      <c r="V39" s="7"/>
      <c r="W39" s="7"/>
      <c r="X39" s="7"/>
      <c r="Y39" s="7"/>
      <c r="Z39" s="8"/>
      <c r="AA39" s="21" t="s">
        <v>186</v>
      </c>
      <c r="AB39" s="34">
        <v>480</v>
      </c>
      <c r="AC39" s="35" t="s">
        <v>225</v>
      </c>
      <c r="AD39" s="7"/>
      <c r="AE39" s="7"/>
      <c r="AF39" s="7"/>
      <c r="AG39" s="7"/>
      <c r="AH39" s="7"/>
      <c r="AI39" s="8"/>
    </row>
    <row r="40" spans="1:35" x14ac:dyDescent="0.2">
      <c r="A40" s="6"/>
      <c r="B40" s="63" t="s">
        <v>21</v>
      </c>
      <c r="C40" t="s">
        <v>14</v>
      </c>
      <c r="D40" s="50" t="s">
        <v>16</v>
      </c>
      <c r="E40" s="50">
        <v>2370</v>
      </c>
      <c r="F40" s="50" t="s">
        <v>16</v>
      </c>
      <c r="G40" s="50">
        <v>1.4999999999999999E-2</v>
      </c>
      <c r="I40" s="7"/>
      <c r="J40" s="7"/>
      <c r="K40" s="8"/>
      <c r="L40" s="7"/>
      <c r="M40" s="7"/>
      <c r="N40" s="7"/>
      <c r="O40" s="7"/>
      <c r="P40" s="7"/>
      <c r="Q40" s="8"/>
      <c r="R40" s="26"/>
      <c r="S40" s="4"/>
      <c r="T40" s="4"/>
      <c r="U40" s="4"/>
      <c r="V40" s="5"/>
      <c r="W40" s="4"/>
      <c r="X40" s="4"/>
      <c r="Y40" s="4"/>
      <c r="Z40" s="5"/>
      <c r="AA40" s="21" t="s">
        <v>223</v>
      </c>
      <c r="AB40" s="7">
        <v>241</v>
      </c>
      <c r="AC40" s="7" t="s">
        <v>224</v>
      </c>
      <c r="AD40" s="7"/>
      <c r="AE40" s="7"/>
      <c r="AF40" s="7"/>
      <c r="AG40" s="7"/>
      <c r="AH40" s="7"/>
      <c r="AI40" s="8"/>
    </row>
    <row r="41" spans="1:35" ht="19" x14ac:dyDescent="0.25">
      <c r="A41" s="6"/>
      <c r="B41" s="63"/>
      <c r="C41" t="s">
        <v>15</v>
      </c>
      <c r="D41" s="50" t="s">
        <v>16</v>
      </c>
      <c r="E41" s="50">
        <v>890</v>
      </c>
      <c r="F41" s="50" t="s">
        <v>16</v>
      </c>
      <c r="G41" s="50">
        <v>1.6E-2</v>
      </c>
      <c r="I41" s="7"/>
      <c r="J41" s="7"/>
      <c r="K41" s="8"/>
      <c r="L41" s="24" t="s">
        <v>180</v>
      </c>
      <c r="M41" s="7"/>
      <c r="N41" s="7"/>
      <c r="O41" s="7"/>
      <c r="P41" s="7"/>
      <c r="Q41" s="8"/>
      <c r="R41" s="37" t="s">
        <v>188</v>
      </c>
      <c r="S41" s="7"/>
      <c r="T41" s="7"/>
      <c r="U41" s="7"/>
      <c r="V41" s="8"/>
      <c r="Z41" s="8"/>
      <c r="AA41" s="6"/>
      <c r="AB41" s="7"/>
      <c r="AC41" s="7"/>
      <c r="AD41" s="7"/>
      <c r="AE41" s="7"/>
      <c r="AF41" s="7"/>
      <c r="AG41" s="7"/>
      <c r="AH41" s="7"/>
      <c r="AI41" s="8"/>
    </row>
    <row r="42" spans="1:35" x14ac:dyDescent="0.2">
      <c r="A42" s="6"/>
      <c r="B42" s="63"/>
      <c r="C42" t="s">
        <v>279</v>
      </c>
      <c r="D42" s="50" t="s">
        <v>16</v>
      </c>
      <c r="E42" s="50">
        <v>1201</v>
      </c>
      <c r="F42" s="50" t="s">
        <v>16</v>
      </c>
      <c r="G42" s="50">
        <v>3.2000000000000001E-2</v>
      </c>
      <c r="H42" t="s">
        <v>171</v>
      </c>
      <c r="I42" s="7"/>
      <c r="J42" s="7"/>
      <c r="K42" s="8"/>
      <c r="L42" s="7"/>
      <c r="M42" s="12" t="s">
        <v>86</v>
      </c>
      <c r="N42" s="12">
        <v>12.9</v>
      </c>
      <c r="O42" s="32" t="s">
        <v>181</v>
      </c>
      <c r="P42" s="7"/>
      <c r="Q42" s="8"/>
      <c r="R42" s="25"/>
      <c r="S42" s="25" t="s">
        <v>193</v>
      </c>
      <c r="T42" s="28" t="s">
        <v>194</v>
      </c>
      <c r="U42" s="7"/>
      <c r="V42" s="8"/>
      <c r="Z42" s="8"/>
      <c r="AA42" s="6"/>
      <c r="AB42" s="7"/>
      <c r="AC42" s="7"/>
      <c r="AD42" s="7"/>
      <c r="AE42" s="7"/>
      <c r="AF42" s="7"/>
      <c r="AG42" s="7"/>
      <c r="AH42" s="7"/>
      <c r="AI42" s="8"/>
    </row>
    <row r="43" spans="1:35" x14ac:dyDescent="0.2">
      <c r="A43" s="6"/>
      <c r="B43" s="63"/>
      <c r="C43" t="s">
        <v>280</v>
      </c>
      <c r="D43" s="50" t="s">
        <v>16</v>
      </c>
      <c r="E43" s="50">
        <v>830</v>
      </c>
      <c r="F43" s="50" t="s">
        <v>16</v>
      </c>
      <c r="G43" s="50">
        <v>0.06</v>
      </c>
      <c r="I43" s="7"/>
      <c r="J43" s="7"/>
      <c r="K43" s="8"/>
      <c r="L43" s="7"/>
      <c r="M43" s="12" t="s">
        <v>85</v>
      </c>
      <c r="N43" s="12">
        <v>1.29</v>
      </c>
      <c r="O43" s="7"/>
      <c r="P43" s="7"/>
      <c r="Q43" s="8"/>
      <c r="R43" s="38" t="s">
        <v>189</v>
      </c>
      <c r="S43" s="28" t="s">
        <v>190</v>
      </c>
      <c r="T43" s="28" t="s">
        <v>195</v>
      </c>
      <c r="U43" s="7"/>
      <c r="V43" s="8"/>
      <c r="Z43" s="8"/>
      <c r="AA43" s="6"/>
      <c r="AB43" s="7"/>
      <c r="AC43" s="7"/>
      <c r="AD43" s="7"/>
      <c r="AE43" s="7"/>
      <c r="AF43" s="7"/>
      <c r="AG43" s="7"/>
      <c r="AH43" s="7"/>
      <c r="AI43" s="8"/>
    </row>
    <row r="44" spans="1:35" x14ac:dyDescent="0.2">
      <c r="A44" s="6"/>
      <c r="F44" s="29" t="s">
        <v>208</v>
      </c>
      <c r="G44" s="42">
        <f>SUM(G25:G28)</f>
        <v>0.76200000000000001</v>
      </c>
      <c r="I44" s="7"/>
      <c r="J44" s="7"/>
      <c r="K44" s="8"/>
      <c r="L44" s="7"/>
      <c r="M44" s="12" t="s">
        <v>79</v>
      </c>
      <c r="N44" s="12">
        <v>20</v>
      </c>
      <c r="O44" s="7"/>
      <c r="P44" s="7"/>
      <c r="Q44" s="8"/>
      <c r="R44" s="38" t="s">
        <v>191</v>
      </c>
      <c r="S44" s="28" t="s">
        <v>192</v>
      </c>
      <c r="T44" s="28" t="s">
        <v>196</v>
      </c>
      <c r="U44" s="7"/>
      <c r="V44" s="8"/>
      <c r="Z44" s="8"/>
      <c r="AA44" s="6"/>
      <c r="AB44" s="7"/>
      <c r="AC44" s="7"/>
      <c r="AD44" s="7"/>
      <c r="AE44" s="7"/>
      <c r="AF44" s="7"/>
      <c r="AG44" s="7"/>
      <c r="AH44" s="7"/>
      <c r="AI44" s="8"/>
    </row>
    <row r="45" spans="1:35" x14ac:dyDescent="0.2">
      <c r="A45" s="23"/>
      <c r="B45" s="9"/>
      <c r="C45" s="9"/>
      <c r="D45" s="9"/>
      <c r="E45" s="9"/>
      <c r="F45" s="9"/>
      <c r="G45" s="9"/>
      <c r="H45" s="9"/>
      <c r="I45" s="9"/>
      <c r="J45" s="9"/>
      <c r="K45" s="10"/>
      <c r="L45" s="9"/>
      <c r="M45" s="9"/>
      <c r="N45" s="9"/>
      <c r="O45" s="9"/>
      <c r="P45" s="9"/>
      <c r="Q45" s="10"/>
      <c r="R45" s="23"/>
      <c r="S45" s="9"/>
      <c r="T45" s="9"/>
      <c r="U45" s="9"/>
      <c r="V45" s="10"/>
      <c r="W45" s="9"/>
      <c r="X45" s="9"/>
      <c r="Y45" s="9"/>
      <c r="Z45" s="10"/>
      <c r="AA45" s="23"/>
      <c r="AB45" s="9"/>
      <c r="AC45" s="9"/>
      <c r="AD45" s="9"/>
      <c r="AE45" s="9"/>
      <c r="AF45" s="9"/>
      <c r="AG45" s="9"/>
      <c r="AH45" s="9"/>
      <c r="AI45" s="10"/>
    </row>
    <row r="46" spans="1:35" x14ac:dyDescent="0.2">
      <c r="K46" s="5"/>
      <c r="Q46" s="5"/>
      <c r="V46" s="5"/>
      <c r="Z46" s="5"/>
      <c r="AA46" s="26"/>
      <c r="AB46" s="4"/>
      <c r="AC46" s="4"/>
      <c r="AD46" s="4"/>
      <c r="AE46" s="4"/>
      <c r="AF46" s="4"/>
      <c r="AG46" s="4"/>
      <c r="AH46" s="4"/>
      <c r="AI46" s="5"/>
    </row>
    <row r="47" spans="1:35" ht="19" x14ac:dyDescent="0.25">
      <c r="A47" s="1" t="s">
        <v>173</v>
      </c>
      <c r="K47" s="8"/>
      <c r="L47" s="1" t="s">
        <v>175</v>
      </c>
      <c r="Q47" s="8"/>
      <c r="R47" s="1" t="s">
        <v>182</v>
      </c>
      <c r="T47" s="29" t="s">
        <v>197</v>
      </c>
      <c r="U47" s="3">
        <f>SUM(T58,T70,T82)</f>
        <v>85.199999999999989</v>
      </c>
      <c r="V47" s="8"/>
      <c r="W47" s="1" t="s">
        <v>75</v>
      </c>
      <c r="Z47" s="8"/>
      <c r="AA47" s="44" t="s">
        <v>185</v>
      </c>
      <c r="AB47" s="7"/>
      <c r="AC47" s="7"/>
      <c r="AD47" s="7"/>
      <c r="AE47" s="7"/>
      <c r="AF47" s="7"/>
      <c r="AG47" s="7"/>
      <c r="AH47" s="7"/>
      <c r="AI47" s="8"/>
    </row>
    <row r="48" spans="1:35" x14ac:dyDescent="0.2">
      <c r="B48" s="3" t="s">
        <v>5</v>
      </c>
      <c r="D48" s="29" t="s">
        <v>174</v>
      </c>
      <c r="E48" s="3">
        <f>SUM(D54,G50)</f>
        <v>97.017834415944108</v>
      </c>
      <c r="K48" s="8"/>
      <c r="L48" s="29" t="s">
        <v>66</v>
      </c>
      <c r="Q48" s="8"/>
      <c r="R48" s="3" t="s">
        <v>78</v>
      </c>
      <c r="V48" s="8"/>
      <c r="X48" t="s">
        <v>219</v>
      </c>
      <c r="Y48">
        <f>(100000/19422.03)*100</f>
        <v>514.87923764920561</v>
      </c>
      <c r="Z48" s="8" t="s">
        <v>287</v>
      </c>
      <c r="AA48" s="6"/>
      <c r="AB48" s="7"/>
      <c r="AC48" s="7"/>
      <c r="AD48" s="7"/>
      <c r="AE48" s="7"/>
      <c r="AF48" s="7"/>
      <c r="AG48" s="7"/>
      <c r="AH48" s="7"/>
      <c r="AI48" s="8"/>
    </row>
    <row r="49" spans="1:35" x14ac:dyDescent="0.2">
      <c r="C49" t="s">
        <v>22</v>
      </c>
      <c r="D49">
        <f>N25*G25</f>
        <v>260931.20000000001</v>
      </c>
      <c r="F49" t="s">
        <v>206</v>
      </c>
      <c r="G49">
        <v>0.3</v>
      </c>
      <c r="K49" s="8"/>
      <c r="M49" t="s">
        <v>67</v>
      </c>
      <c r="N49">
        <f>N25*G34</f>
        <v>8154.1</v>
      </c>
      <c r="Q49" s="8"/>
      <c r="V49" s="8"/>
      <c r="X49" t="s">
        <v>76</v>
      </c>
      <c r="Y49">
        <f>Y48/100/100</f>
        <v>5.1487923764920562E-2</v>
      </c>
      <c r="Z49" s="8"/>
      <c r="AA49" s="6"/>
      <c r="AB49" s="12" t="s">
        <v>5</v>
      </c>
      <c r="AC49" s="7"/>
      <c r="AD49" s="7"/>
      <c r="AE49" s="7"/>
      <c r="AF49" s="7"/>
      <c r="AG49" s="7"/>
      <c r="AH49" s="7"/>
      <c r="AI49" s="8"/>
    </row>
    <row r="50" spans="1:35" x14ac:dyDescent="0.2">
      <c r="C50" t="s">
        <v>23</v>
      </c>
      <c r="D50">
        <v>0.02</v>
      </c>
      <c r="E50" s="16" t="s">
        <v>41</v>
      </c>
      <c r="F50" t="s">
        <v>207</v>
      </c>
      <c r="G50" s="18">
        <f>G49*D54</f>
        <v>22.388731019064025</v>
      </c>
      <c r="K50" s="8"/>
      <c r="M50" t="s">
        <v>48</v>
      </c>
      <c r="N50">
        <f>N49/E34</f>
        <v>3.4405485232067514</v>
      </c>
      <c r="Q50" s="8"/>
      <c r="S50" t="s">
        <v>204</v>
      </c>
      <c r="T50">
        <v>8</v>
      </c>
      <c r="U50" t="s">
        <v>286</v>
      </c>
      <c r="V50" s="8"/>
      <c r="X50" t="s">
        <v>77</v>
      </c>
      <c r="Y50">
        <f>1/Y49</f>
        <v>19.422029999999999</v>
      </c>
      <c r="Z50" s="8"/>
      <c r="AA50" s="6"/>
      <c r="AB50" s="7"/>
      <c r="AC50" s="7" t="s">
        <v>119</v>
      </c>
      <c r="AD50" s="13">
        <f>650*10000</f>
        <v>6500000</v>
      </c>
      <c r="AE50" s="7"/>
      <c r="AF50" s="7"/>
      <c r="AG50" s="7"/>
      <c r="AH50" s="7"/>
      <c r="AI50" s="8"/>
    </row>
    <row r="51" spans="1:35" x14ac:dyDescent="0.2">
      <c r="C51" t="s">
        <v>24</v>
      </c>
      <c r="D51">
        <v>0.3</v>
      </c>
      <c r="K51" s="8"/>
      <c r="M51" t="s">
        <v>68</v>
      </c>
      <c r="N51">
        <f>N50/X25/T24</f>
        <v>0.34439925157224738</v>
      </c>
      <c r="Q51" s="8"/>
      <c r="S51" t="s">
        <v>205</v>
      </c>
      <c r="T51">
        <f>T50*1000</f>
        <v>8000</v>
      </c>
      <c r="U51" t="s">
        <v>178</v>
      </c>
      <c r="V51" s="8"/>
      <c r="X51" t="s">
        <v>221</v>
      </c>
      <c r="Y51">
        <f>SUM(G40:G42)</f>
        <v>6.3E-2</v>
      </c>
      <c r="Z51" s="8"/>
      <c r="AA51" s="6"/>
      <c r="AB51" s="7"/>
      <c r="AC51" s="7" t="s">
        <v>111</v>
      </c>
      <c r="AD51">
        <v>0.79600000000000004</v>
      </c>
      <c r="AE51" s="7" t="s">
        <v>178</v>
      </c>
      <c r="AF51" s="7"/>
      <c r="AG51" s="7"/>
      <c r="AH51" s="7"/>
      <c r="AI51" s="8"/>
    </row>
    <row r="52" spans="1:35" x14ac:dyDescent="0.2">
      <c r="C52" t="s">
        <v>25</v>
      </c>
      <c r="D52" s="18">
        <f>F25*(1-(SUM(D50:D51)))</f>
        <v>3971879.9999999995</v>
      </c>
      <c r="K52" s="8"/>
      <c r="M52" t="s">
        <v>69</v>
      </c>
      <c r="N52">
        <f>(70*(N51*T24)^0.75)*365</f>
        <v>199570.77280099536</v>
      </c>
      <c r="Q52" s="8"/>
      <c r="S52" t="s">
        <v>203</v>
      </c>
      <c r="T52">
        <f>T51/N44</f>
        <v>400</v>
      </c>
      <c r="V52" s="8"/>
      <c r="X52" s="3" t="s">
        <v>220</v>
      </c>
      <c r="Y52" s="3">
        <f>Y51*Y50*N38</f>
        <v>1389.99584304</v>
      </c>
      <c r="Z52" s="8"/>
      <c r="AA52" s="6"/>
      <c r="AB52" s="7"/>
      <c r="AC52" s="7" t="s">
        <v>112</v>
      </c>
      <c r="AD52">
        <v>0.1</v>
      </c>
      <c r="AE52" s="7" t="s">
        <v>113</v>
      </c>
      <c r="AF52" s="7"/>
      <c r="AG52" s="7"/>
      <c r="AH52" s="7"/>
      <c r="AI52" s="8"/>
    </row>
    <row r="53" spans="1:35" x14ac:dyDescent="0.2">
      <c r="C53" t="s">
        <v>26</v>
      </c>
      <c r="D53" s="18">
        <f>D49/D52</f>
        <v>6.5694633271901476E-2</v>
      </c>
      <c r="K53" s="8"/>
      <c r="M53" t="s">
        <v>124</v>
      </c>
      <c r="N53">
        <v>0.9</v>
      </c>
      <c r="O53" s="60">
        <f>SUM(N53:N54)</f>
        <v>1</v>
      </c>
      <c r="Q53" s="8"/>
      <c r="S53" t="s">
        <v>202</v>
      </c>
      <c r="T53">
        <v>551</v>
      </c>
      <c r="V53" s="8"/>
      <c r="Z53" s="8"/>
      <c r="AA53" s="6"/>
      <c r="AB53" s="7"/>
      <c r="AC53" s="7" t="s">
        <v>198</v>
      </c>
      <c r="AD53">
        <f>(AD50)*AD51*(1-AD52)/0.45</f>
        <v>10348000</v>
      </c>
      <c r="AE53" s="7" t="s">
        <v>199</v>
      </c>
      <c r="AF53" s="7"/>
      <c r="AG53" s="7"/>
      <c r="AH53" s="7"/>
      <c r="AI53" s="8"/>
    </row>
    <row r="54" spans="1:35" x14ac:dyDescent="0.2">
      <c r="C54" t="s">
        <v>27</v>
      </c>
      <c r="D54" s="18">
        <f>D53*N38</f>
        <v>74.629103396880083</v>
      </c>
      <c r="K54" s="8"/>
      <c r="M54" t="s">
        <v>70</v>
      </c>
      <c r="N54">
        <v>0.1</v>
      </c>
      <c r="O54" s="60"/>
      <c r="Q54" s="8"/>
      <c r="S54" t="s">
        <v>80</v>
      </c>
      <c r="T54">
        <f>T53*N44/1000</f>
        <v>11.02</v>
      </c>
      <c r="V54" s="8"/>
      <c r="W54" s="23"/>
      <c r="X54" s="9"/>
      <c r="Y54" s="9"/>
      <c r="Z54" s="10"/>
      <c r="AA54" s="6"/>
      <c r="AB54" s="7"/>
      <c r="AC54" s="7" t="s">
        <v>114</v>
      </c>
      <c r="AD54">
        <v>0.23</v>
      </c>
      <c r="AE54" s="7"/>
      <c r="AF54" s="7"/>
      <c r="AG54" s="7"/>
      <c r="AH54" s="7"/>
      <c r="AI54" s="8"/>
    </row>
    <row r="55" spans="1:35" x14ac:dyDescent="0.2">
      <c r="A55" s="9"/>
      <c r="B55" s="9"/>
      <c r="C55" s="9"/>
      <c r="D55" s="9"/>
      <c r="E55" s="9"/>
      <c r="F55" s="9"/>
      <c r="G55" s="9"/>
      <c r="H55" s="9"/>
      <c r="I55" s="9"/>
      <c r="J55" s="9"/>
      <c r="K55" s="10"/>
      <c r="Q55" s="8"/>
      <c r="S55" t="s">
        <v>81</v>
      </c>
      <c r="T55">
        <f>AVERAGE(T52,T53)</f>
        <v>475.5</v>
      </c>
      <c r="V55" s="8"/>
      <c r="Z55" s="8"/>
      <c r="AA55" s="6"/>
      <c r="AB55" s="7"/>
      <c r="AC55" s="7" t="s">
        <v>200</v>
      </c>
      <c r="AD55" s="17">
        <f>AD53*(1-AD54)*(D53)</f>
        <v>523452.21012518008</v>
      </c>
      <c r="AE55" s="7"/>
      <c r="AF55" s="7"/>
      <c r="AG55" s="7"/>
      <c r="AH55" s="7"/>
      <c r="AI55" s="8"/>
    </row>
    <row r="56" spans="1:35" x14ac:dyDescent="0.2">
      <c r="K56" s="8"/>
      <c r="M56" t="s">
        <v>71</v>
      </c>
      <c r="N56">
        <f>(N54*N52)/W33</f>
        <v>5.341169609138146E-2</v>
      </c>
      <c r="Q56" s="8"/>
      <c r="S56" t="s">
        <v>82</v>
      </c>
      <c r="T56">
        <f>T55*N38</f>
        <v>540168</v>
      </c>
      <c r="V56" s="8"/>
      <c r="Z56" s="8"/>
      <c r="AA56" s="6"/>
      <c r="AB56" s="7"/>
      <c r="AC56" s="7" t="s">
        <v>201</v>
      </c>
      <c r="AD56">
        <f>AD55*N31</f>
        <v>594641710.70220459</v>
      </c>
      <c r="AE56" s="7"/>
      <c r="AF56" s="7"/>
      <c r="AG56" s="7"/>
      <c r="AH56" s="7"/>
      <c r="AI56" s="8"/>
    </row>
    <row r="57" spans="1:35" ht="19" x14ac:dyDescent="0.25">
      <c r="B57" s="3" t="s">
        <v>107</v>
      </c>
      <c r="D57" s="3" t="s">
        <v>43</v>
      </c>
      <c r="E57" s="53">
        <f>D64+(D72-G69)+(D80-G77)+G64+(D88+G83)</f>
        <v>120.10827171695908</v>
      </c>
      <c r="K57" s="8"/>
      <c r="M57" t="s">
        <v>72</v>
      </c>
      <c r="N57">
        <f>SUM(N55:N56)</f>
        <v>5.341169609138146E-2</v>
      </c>
      <c r="Q57" s="8"/>
      <c r="S57" t="s">
        <v>83</v>
      </c>
      <c r="T57">
        <f>T56/N43</f>
        <v>418734.8837209302</v>
      </c>
      <c r="V57" s="8"/>
      <c r="W57" s="27"/>
      <c r="Z57" s="8"/>
      <c r="AA57" s="6"/>
      <c r="AB57" s="7"/>
      <c r="AC57" s="7"/>
      <c r="AD57" s="7"/>
      <c r="AE57" s="7"/>
      <c r="AF57" s="7"/>
      <c r="AG57" s="7"/>
      <c r="AH57" s="7"/>
      <c r="AI57" s="8"/>
    </row>
    <row r="58" spans="1:35" x14ac:dyDescent="0.2">
      <c r="C58" s="3" t="s">
        <v>318</v>
      </c>
      <c r="K58" s="8"/>
      <c r="M58" s="3" t="s">
        <v>73</v>
      </c>
      <c r="N58" s="3">
        <f>N57*N31</f>
        <v>60.675686759809338</v>
      </c>
      <c r="Q58" s="8"/>
      <c r="S58" t="s">
        <v>84</v>
      </c>
      <c r="T58">
        <f>T57/10000</f>
        <v>41.873488372093021</v>
      </c>
      <c r="V58" s="8"/>
      <c r="X58" s="7"/>
      <c r="Y58" s="7"/>
      <c r="Z58" s="8"/>
      <c r="AA58" s="6"/>
      <c r="AB58" s="12" t="s">
        <v>116</v>
      </c>
      <c r="AC58" s="7"/>
      <c r="AD58" s="7"/>
      <c r="AE58" s="7"/>
      <c r="AF58" s="7"/>
      <c r="AG58" s="7"/>
      <c r="AH58" s="7"/>
      <c r="AI58" s="8"/>
    </row>
    <row r="59" spans="1:35" x14ac:dyDescent="0.2">
      <c r="C59" t="s">
        <v>22</v>
      </c>
      <c r="D59">
        <f>G28*N25</f>
        <v>171236.1</v>
      </c>
      <c r="F59" t="s">
        <v>210</v>
      </c>
      <c r="K59" s="8"/>
      <c r="M59" s="3" t="s">
        <v>74</v>
      </c>
      <c r="N59" s="3">
        <f>N51*N31</f>
        <v>391.23754978607303</v>
      </c>
      <c r="Q59" s="8"/>
      <c r="V59" s="8"/>
      <c r="X59" s="39"/>
      <c r="Y59" s="7"/>
      <c r="Z59" s="8"/>
      <c r="AA59" s="6"/>
      <c r="AB59" s="7"/>
      <c r="AC59" s="7" t="s">
        <v>110</v>
      </c>
      <c r="AD59" s="13">
        <f>650*10000</f>
        <v>6500000</v>
      </c>
      <c r="AE59" s="7"/>
      <c r="AF59" s="7"/>
      <c r="AH59" s="7"/>
      <c r="AI59" s="8"/>
    </row>
    <row r="60" spans="1:35" x14ac:dyDescent="0.2">
      <c r="C60" t="s">
        <v>23</v>
      </c>
      <c r="D60">
        <v>0.1</v>
      </c>
      <c r="F60" t="s">
        <v>42</v>
      </c>
      <c r="G60">
        <v>0.1</v>
      </c>
      <c r="K60" s="8"/>
      <c r="M60" s="3" t="s">
        <v>123</v>
      </c>
      <c r="N60" s="3">
        <f>N59*(N52/N51)</f>
        <v>226712397.90193072</v>
      </c>
      <c r="Q60" s="8"/>
      <c r="V60" s="8"/>
      <c r="W60" s="7"/>
      <c r="X60" s="7"/>
      <c r="Y60" s="7"/>
      <c r="Z60" s="8"/>
      <c r="AA60" s="6"/>
      <c r="AB60" s="7"/>
      <c r="AC60" s="7" t="s">
        <v>111</v>
      </c>
      <c r="AD60" s="7">
        <v>0.6</v>
      </c>
      <c r="AE60" t="s">
        <v>231</v>
      </c>
      <c r="AF60" s="7"/>
      <c r="AG60" s="7"/>
      <c r="AH60" s="7"/>
      <c r="AI60" s="8"/>
    </row>
    <row r="61" spans="1:35" x14ac:dyDescent="0.2">
      <c r="C61" t="s">
        <v>24</v>
      </c>
      <c r="D61">
        <v>0.3</v>
      </c>
      <c r="F61" t="s">
        <v>6</v>
      </c>
      <c r="G61">
        <v>0</v>
      </c>
      <c r="K61" s="8"/>
      <c r="Q61" s="8"/>
      <c r="R61" s="3" t="s">
        <v>94</v>
      </c>
      <c r="V61" s="8"/>
      <c r="X61" s="55"/>
      <c r="Y61" s="45"/>
      <c r="Z61" s="8"/>
      <c r="AA61" s="6"/>
      <c r="AB61" s="7"/>
      <c r="AC61" s="7" t="s">
        <v>112</v>
      </c>
      <c r="AD61" s="7">
        <v>0.1</v>
      </c>
      <c r="AF61" s="7"/>
      <c r="AG61" s="7"/>
      <c r="AH61" s="7"/>
      <c r="AI61" s="8"/>
    </row>
    <row r="62" spans="1:35" x14ac:dyDescent="0.2">
      <c r="C62" t="s">
        <v>25</v>
      </c>
      <c r="D62" s="18">
        <f>F28*(1-(D60+D61))</f>
        <v>2850000</v>
      </c>
      <c r="F62" t="s">
        <v>247</v>
      </c>
      <c r="G62">
        <v>0</v>
      </c>
      <c r="K62" s="8"/>
      <c r="Q62" s="8"/>
      <c r="S62" t="s">
        <v>95</v>
      </c>
      <c r="T62">
        <v>30</v>
      </c>
      <c r="U62" s="16" t="s">
        <v>178</v>
      </c>
      <c r="V62" s="8"/>
      <c r="X62" s="40"/>
      <c r="Y62" s="3"/>
      <c r="Z62" s="8"/>
      <c r="AA62" s="6"/>
      <c r="AB62" s="7"/>
      <c r="AC62" s="7" t="s">
        <v>118</v>
      </c>
      <c r="AD62">
        <f>(AD59)*AD60*(1-AD61)/0.45</f>
        <v>7800000</v>
      </c>
      <c r="AF62" s="7"/>
      <c r="AG62" s="7"/>
      <c r="AH62" s="7"/>
      <c r="AI62" s="8"/>
    </row>
    <row r="63" spans="1:35" x14ac:dyDescent="0.2">
      <c r="C63" t="s">
        <v>26</v>
      </c>
      <c r="D63" s="18">
        <f>D59/D62</f>
        <v>6.0082842105263157E-2</v>
      </c>
      <c r="F63" t="s">
        <v>281</v>
      </c>
      <c r="G63">
        <v>0.1</v>
      </c>
      <c r="K63" s="8"/>
      <c r="Q63" s="8"/>
      <c r="S63" t="s">
        <v>96</v>
      </c>
      <c r="T63">
        <v>1.5</v>
      </c>
      <c r="U63" s="45" t="s">
        <v>250</v>
      </c>
      <c r="V63" s="8"/>
      <c r="X63" s="11"/>
      <c r="Z63" s="8"/>
      <c r="AA63" s="6"/>
      <c r="AB63" s="7"/>
      <c r="AC63" s="7" t="s">
        <v>114</v>
      </c>
      <c r="AD63" s="7">
        <v>0.5</v>
      </c>
      <c r="AE63" t="s">
        <v>232</v>
      </c>
      <c r="AF63" s="7"/>
      <c r="AG63" s="7"/>
      <c r="AH63" s="7"/>
      <c r="AI63" s="8"/>
    </row>
    <row r="64" spans="1:35" x14ac:dyDescent="0.2">
      <c r="C64" t="s">
        <v>27</v>
      </c>
      <c r="D64" s="18">
        <f>D63*N38</f>
        <v>68.254108631578944</v>
      </c>
      <c r="F64" t="s">
        <v>207</v>
      </c>
      <c r="G64" s="18">
        <f>G60*D64</f>
        <v>6.8254108631578951</v>
      </c>
      <c r="K64" s="8"/>
      <c r="L64" s="29" t="s">
        <v>176</v>
      </c>
      <c r="Q64" s="8"/>
      <c r="S64" t="s">
        <v>97</v>
      </c>
      <c r="T64">
        <f>T63*T62</f>
        <v>45</v>
      </c>
      <c r="U64" s="16"/>
      <c r="V64" s="8"/>
      <c r="Z64" s="8"/>
      <c r="AA64" s="6"/>
      <c r="AB64" s="7"/>
      <c r="AC64" s="7" t="s">
        <v>115</v>
      </c>
      <c r="AD64" s="17">
        <f>AD62*(1-AD63)*D63</f>
        <v>234323.08421052631</v>
      </c>
      <c r="AE64" s="7"/>
      <c r="AF64" s="7"/>
      <c r="AG64" s="7"/>
      <c r="AH64" s="7"/>
      <c r="AI64" s="8"/>
    </row>
    <row r="65" spans="3:35" x14ac:dyDescent="0.2">
      <c r="K65" s="8"/>
      <c r="L65" s="30"/>
      <c r="M65" t="s">
        <v>51</v>
      </c>
      <c r="N65">
        <f>N25*G37</f>
        <v>815.41</v>
      </c>
      <c r="Q65" s="8"/>
      <c r="S65" t="s">
        <v>98</v>
      </c>
      <c r="T65">
        <v>2</v>
      </c>
      <c r="U65" s="16" t="s">
        <v>178</v>
      </c>
      <c r="V65" s="8"/>
      <c r="Z65" s="8"/>
      <c r="AA65" s="6"/>
      <c r="AB65" s="7"/>
      <c r="AC65" s="7" t="s">
        <v>117</v>
      </c>
      <c r="AD65" s="7">
        <f>AD64*N31</f>
        <v>266191023.66315788</v>
      </c>
      <c r="AE65" s="7"/>
      <c r="AF65" s="7"/>
      <c r="AG65" s="7"/>
      <c r="AH65" s="7"/>
      <c r="AI65" s="8"/>
    </row>
    <row r="66" spans="3:35" x14ac:dyDescent="0.2">
      <c r="C66" s="3" t="s">
        <v>312</v>
      </c>
      <c r="K66" s="8"/>
      <c r="M66" t="s">
        <v>48</v>
      </c>
      <c r="N66">
        <f>N65/E37</f>
        <v>0.60851492537313434</v>
      </c>
      <c r="Q66" s="8"/>
      <c r="S66" t="s">
        <v>89</v>
      </c>
      <c r="T66">
        <v>4</v>
      </c>
      <c r="V66" s="8"/>
      <c r="Z66" s="8"/>
      <c r="AA66" s="6"/>
      <c r="AB66" s="7"/>
      <c r="AC66" s="7"/>
      <c r="AD66" s="7"/>
      <c r="AE66" s="7"/>
      <c r="AF66" s="7"/>
      <c r="AG66" s="7"/>
      <c r="AH66" s="7"/>
      <c r="AI66" s="8"/>
    </row>
    <row r="67" spans="3:35" x14ac:dyDescent="0.2">
      <c r="C67" t="s">
        <v>22</v>
      </c>
      <c r="D67">
        <f>G27*N25</f>
        <v>17939.02</v>
      </c>
      <c r="F67" s="59" t="s">
        <v>245</v>
      </c>
      <c r="G67" s="62">
        <v>1</v>
      </c>
      <c r="K67" s="8"/>
      <c r="M67" t="s">
        <v>54</v>
      </c>
      <c r="N67">
        <f>N66/X24/T25</f>
        <v>1.8962995031821347E-2</v>
      </c>
      <c r="Q67" s="8"/>
      <c r="S67" t="s">
        <v>99</v>
      </c>
      <c r="T67">
        <f>T66*T65*T64</f>
        <v>360</v>
      </c>
      <c r="V67" s="8"/>
      <c r="Z67" s="8"/>
      <c r="AA67" s="6"/>
      <c r="AB67" s="12" t="s">
        <v>120</v>
      </c>
      <c r="AC67" s="7"/>
      <c r="AD67" s="7"/>
      <c r="AE67" s="7"/>
      <c r="AF67" s="7"/>
      <c r="AG67" s="7"/>
      <c r="AH67" s="7"/>
      <c r="AI67" s="8"/>
    </row>
    <row r="68" spans="3:35" x14ac:dyDescent="0.2">
      <c r="C68" t="s">
        <v>23</v>
      </c>
      <c r="D68">
        <v>0.1</v>
      </c>
      <c r="F68" s="59"/>
      <c r="G68" s="62"/>
      <c r="K68" s="8"/>
      <c r="M68" t="s">
        <v>55</v>
      </c>
      <c r="N68">
        <f>(70*(N67*T25)^0.75)*365</f>
        <v>124576.45546570697</v>
      </c>
      <c r="Q68" s="8"/>
      <c r="S68" t="s">
        <v>100</v>
      </c>
      <c r="T68">
        <f>T67*N44/1000</f>
        <v>7.2</v>
      </c>
      <c r="V68" s="8"/>
      <c r="Z68" s="8"/>
      <c r="AA68" s="6"/>
      <c r="AB68" s="7"/>
      <c r="AC68" s="7" t="s">
        <v>110</v>
      </c>
      <c r="AD68" s="13">
        <f>650*10000</f>
        <v>6500000</v>
      </c>
      <c r="AE68" s="7"/>
      <c r="AF68" s="7"/>
      <c r="AG68" s="7" t="s">
        <v>222</v>
      </c>
      <c r="AH68" s="7"/>
      <c r="AI68" s="8"/>
    </row>
    <row r="69" spans="3:35" x14ac:dyDescent="0.2">
      <c r="C69" t="s">
        <v>24</v>
      </c>
      <c r="D69">
        <v>0.3</v>
      </c>
      <c r="F69" s="3" t="s">
        <v>246</v>
      </c>
      <c r="G69" s="3">
        <f>G67*D72</f>
        <v>15.299344384384385</v>
      </c>
      <c r="K69" s="8"/>
      <c r="M69" t="s">
        <v>258</v>
      </c>
      <c r="N69">
        <v>0.6</v>
      </c>
      <c r="O69" s="60">
        <f>SUM(N69:N71)</f>
        <v>1</v>
      </c>
      <c r="P69" t="s">
        <v>241</v>
      </c>
      <c r="Q69" s="8"/>
      <c r="S69" t="s">
        <v>101</v>
      </c>
      <c r="T69">
        <f>T67*N38</f>
        <v>408960</v>
      </c>
      <c r="V69" s="8"/>
      <c r="Z69" s="8"/>
      <c r="AA69" s="6"/>
      <c r="AB69" s="7"/>
      <c r="AC69" s="7" t="s">
        <v>111</v>
      </c>
      <c r="AD69" s="7">
        <v>0.59</v>
      </c>
      <c r="AE69" s="7" t="s">
        <v>226</v>
      </c>
      <c r="AF69" s="7"/>
      <c r="AG69" s="7"/>
      <c r="AH69" s="7"/>
      <c r="AI69" s="8"/>
    </row>
    <row r="70" spans="3:35" x14ac:dyDescent="0.2">
      <c r="C70" t="s">
        <v>25</v>
      </c>
      <c r="D70" s="18">
        <f>F27*(1-SUM(D68:D69))</f>
        <v>1332000</v>
      </c>
      <c r="K70" s="8"/>
      <c r="M70" t="s">
        <v>259</v>
      </c>
      <c r="N70">
        <v>0.1</v>
      </c>
      <c r="O70" s="60"/>
      <c r="Q70" s="8"/>
      <c r="S70" t="s">
        <v>102</v>
      </c>
      <c r="T70">
        <v>0</v>
      </c>
      <c r="U70" t="s">
        <v>209</v>
      </c>
      <c r="V70" s="8"/>
      <c r="Z70" s="8"/>
      <c r="AA70" s="6"/>
      <c r="AB70" s="7"/>
      <c r="AC70" s="7" t="s">
        <v>112</v>
      </c>
      <c r="AD70" s="7">
        <v>0.1</v>
      </c>
      <c r="AE70" s="7"/>
      <c r="AF70" s="7"/>
      <c r="AG70" s="7"/>
      <c r="AH70" s="7"/>
      <c r="AI70" s="8"/>
    </row>
    <row r="71" spans="3:35" x14ac:dyDescent="0.2">
      <c r="C71" t="s">
        <v>26</v>
      </c>
      <c r="D71" s="18">
        <f>D67/D70</f>
        <v>1.3467732732732733E-2</v>
      </c>
      <c r="K71" s="8"/>
      <c r="M71" t="s">
        <v>260</v>
      </c>
      <c r="N71">
        <v>0.3</v>
      </c>
      <c r="O71" s="60"/>
      <c r="Q71" s="8"/>
      <c r="V71" s="8"/>
      <c r="Z71" s="8"/>
      <c r="AA71" s="6"/>
      <c r="AB71" s="7"/>
      <c r="AC71" s="7" t="s">
        <v>118</v>
      </c>
      <c r="AD71">
        <f>(AD68)*AD69*(1-AD70)/0.45</f>
        <v>7670000</v>
      </c>
      <c r="AE71" s="7"/>
      <c r="AF71" s="7"/>
      <c r="AG71" s="7"/>
      <c r="AH71" s="7"/>
      <c r="AI71" s="8"/>
    </row>
    <row r="72" spans="3:35" x14ac:dyDescent="0.2">
      <c r="C72" t="s">
        <v>27</v>
      </c>
      <c r="D72" s="18">
        <f>D71*N38</f>
        <v>15.299344384384385</v>
      </c>
      <c r="K72" s="8"/>
      <c r="M72" t="s">
        <v>49</v>
      </c>
      <c r="N72">
        <f>N69*N68/W31</f>
        <v>7.3539820227690067E-2</v>
      </c>
      <c r="Q72" s="8"/>
      <c r="S72" s="16" t="s">
        <v>183</v>
      </c>
      <c r="V72" s="8"/>
      <c r="Z72" s="8"/>
      <c r="AA72" s="6"/>
      <c r="AB72" s="7"/>
      <c r="AC72" s="7" t="s">
        <v>114</v>
      </c>
      <c r="AD72" s="7">
        <v>0.52</v>
      </c>
      <c r="AE72" s="7" t="s">
        <v>227</v>
      </c>
      <c r="AF72" s="7"/>
      <c r="AG72" s="7"/>
      <c r="AH72" s="7"/>
      <c r="AI72" s="8"/>
    </row>
    <row r="73" spans="3:35" x14ac:dyDescent="0.2">
      <c r="K73" s="8"/>
      <c r="M73" t="s">
        <v>50</v>
      </c>
      <c r="N73">
        <f>N70*N68/W32</f>
        <v>8.2736571339381663E-3</v>
      </c>
      <c r="Q73" s="8"/>
      <c r="V73" s="8"/>
      <c r="Z73" s="8"/>
      <c r="AA73" s="6"/>
      <c r="AB73" s="7"/>
      <c r="AC73" s="7" t="s">
        <v>115</v>
      </c>
      <c r="AD73" s="17">
        <f>AD71*(1-AD72)*D71</f>
        <v>49582.804828828834</v>
      </c>
      <c r="AE73" s="7"/>
      <c r="AF73" s="7"/>
      <c r="AG73" s="7"/>
      <c r="AH73" s="7"/>
      <c r="AI73" s="8"/>
    </row>
    <row r="74" spans="3:35" x14ac:dyDescent="0.2">
      <c r="C74" s="3" t="s">
        <v>9</v>
      </c>
      <c r="F74" s="59" t="s">
        <v>248</v>
      </c>
      <c r="G74" s="60">
        <v>1</v>
      </c>
      <c r="K74" s="8"/>
      <c r="M74" t="s">
        <v>254</v>
      </c>
      <c r="N74">
        <f>SUM(N72:N73)</f>
        <v>8.1813477361628237E-2</v>
      </c>
      <c r="Q74" s="8"/>
      <c r="V74" s="8"/>
      <c r="Z74" s="8"/>
      <c r="AA74" s="6"/>
      <c r="AB74" s="7"/>
      <c r="AC74" s="7" t="s">
        <v>117</v>
      </c>
      <c r="AD74" s="7">
        <f>$N$31*AD73</f>
        <v>56326066.285549559</v>
      </c>
      <c r="AE74" s="7"/>
      <c r="AF74" s="7"/>
      <c r="AG74" s="7"/>
      <c r="AH74" s="7"/>
      <c r="AI74" s="8"/>
    </row>
    <row r="75" spans="3:35" x14ac:dyDescent="0.2">
      <c r="C75" t="s">
        <v>22</v>
      </c>
      <c r="D75">
        <f>G32*N25</f>
        <v>12231.15</v>
      </c>
      <c r="F75" s="59"/>
      <c r="G75" s="60"/>
      <c r="K75" s="8"/>
      <c r="M75" s="3" t="s">
        <v>255</v>
      </c>
      <c r="N75" s="3">
        <f>N74*N31</f>
        <v>92.940110282809684</v>
      </c>
      <c r="Q75" s="8"/>
      <c r="R75" s="3" t="s">
        <v>184</v>
      </c>
      <c r="V75" s="8"/>
      <c r="Z75" s="8"/>
      <c r="AA75" s="6"/>
      <c r="AB75" s="7"/>
      <c r="AC75" s="7"/>
      <c r="AD75" s="7"/>
      <c r="AE75" s="7"/>
      <c r="AF75" s="7"/>
      <c r="AG75" s="7"/>
      <c r="AH75" s="7"/>
      <c r="AI75" s="8"/>
    </row>
    <row r="76" spans="3:35" x14ac:dyDescent="0.2">
      <c r="C76" t="s">
        <v>23</v>
      </c>
      <c r="D76">
        <v>0</v>
      </c>
      <c r="F76" s="59"/>
      <c r="G76" s="60"/>
      <c r="K76" s="8"/>
      <c r="M76" s="3" t="s">
        <v>256</v>
      </c>
      <c r="N76" s="3">
        <f>N67*N31</f>
        <v>21.54196235614905</v>
      </c>
      <c r="Q76" s="8"/>
      <c r="S76" t="s">
        <v>87</v>
      </c>
      <c r="T76">
        <v>1.5</v>
      </c>
      <c r="U76" s="16" t="s">
        <v>178</v>
      </c>
      <c r="V76" s="8"/>
      <c r="Z76" s="8"/>
      <c r="AA76" s="6"/>
      <c r="AB76" s="12" t="s">
        <v>134</v>
      </c>
      <c r="AC76" s="7"/>
      <c r="AD76" s="7"/>
      <c r="AE76" s="7"/>
      <c r="AF76" s="7"/>
      <c r="AG76" s="7"/>
      <c r="AH76" s="7"/>
      <c r="AI76" s="8"/>
    </row>
    <row r="77" spans="3:35" x14ac:dyDescent="0.2">
      <c r="C77" t="s">
        <v>24</v>
      </c>
      <c r="D77">
        <v>0.3</v>
      </c>
      <c r="F77" t="s">
        <v>249</v>
      </c>
      <c r="G77">
        <f>G74*D80</f>
        <v>4.0344327526132409</v>
      </c>
      <c r="K77" s="8"/>
      <c r="Q77" s="8"/>
      <c r="S77" t="s">
        <v>88</v>
      </c>
      <c r="T77">
        <v>82</v>
      </c>
      <c r="U77" s="16" t="s">
        <v>103</v>
      </c>
      <c r="V77" s="8"/>
      <c r="Z77" s="8"/>
      <c r="AA77" s="6"/>
      <c r="AB77" s="7"/>
      <c r="AC77" s="7" t="s">
        <v>125</v>
      </c>
      <c r="AD77">
        <f>((((40+96)/2)/1.28)/1.331)*0.67</f>
        <v>26.742111194590535</v>
      </c>
      <c r="AE77" s="7"/>
      <c r="AF77" s="7" t="s">
        <v>228</v>
      </c>
      <c r="AG77" s="7"/>
      <c r="AH77" s="7"/>
      <c r="AI77" s="8"/>
    </row>
    <row r="78" spans="3:35" x14ac:dyDescent="0.2">
      <c r="C78" t="s">
        <v>25</v>
      </c>
      <c r="D78" s="18">
        <f>F32*(1-SUM(D76:D77))</f>
        <v>3444000</v>
      </c>
      <c r="K78" s="8"/>
      <c r="M78" s="3" t="s">
        <v>243</v>
      </c>
      <c r="Q78" s="8"/>
      <c r="S78" t="s">
        <v>89</v>
      </c>
      <c r="T78">
        <v>4</v>
      </c>
      <c r="U78" s="16"/>
      <c r="V78" s="8"/>
      <c r="Z78" s="8"/>
      <c r="AA78" s="6"/>
      <c r="AB78" s="7"/>
      <c r="AC78" s="7" t="s">
        <v>126</v>
      </c>
      <c r="AD78">
        <f>((40+96)/2)</f>
        <v>68</v>
      </c>
      <c r="AE78" s="7"/>
      <c r="AF78" s="7" t="s">
        <v>229</v>
      </c>
      <c r="AG78" s="7"/>
      <c r="AH78" s="7"/>
      <c r="AI78" s="8"/>
    </row>
    <row r="79" spans="3:35" x14ac:dyDescent="0.2">
      <c r="C79" t="s">
        <v>26</v>
      </c>
      <c r="D79" s="18">
        <f>D75/D78</f>
        <v>3.5514372822299653E-3</v>
      </c>
      <c r="K79" s="8"/>
      <c r="Q79" s="8"/>
      <c r="S79" t="s">
        <v>90</v>
      </c>
      <c r="T79">
        <f>T76*T77*T78</f>
        <v>492</v>
      </c>
      <c r="U79" s="16"/>
      <c r="V79" s="8"/>
      <c r="Z79" s="8"/>
      <c r="AA79" s="6"/>
      <c r="AB79" s="7"/>
      <c r="AC79" s="7" t="s">
        <v>127</v>
      </c>
      <c r="AD79">
        <f>AD78-AD77</f>
        <v>41.257888805409465</v>
      </c>
      <c r="AE79" s="7"/>
      <c r="AF79" s="7" t="s">
        <v>230</v>
      </c>
      <c r="AG79" s="7"/>
      <c r="AH79" s="7"/>
      <c r="AI79" s="8"/>
    </row>
    <row r="80" spans="3:35" x14ac:dyDescent="0.2">
      <c r="C80" t="s">
        <v>27</v>
      </c>
      <c r="D80" s="18">
        <f>D79*N38</f>
        <v>4.0344327526132409</v>
      </c>
      <c r="K80" s="8"/>
      <c r="L80" s="29" t="s">
        <v>257</v>
      </c>
      <c r="Q80" s="8"/>
      <c r="S80" t="s">
        <v>91</v>
      </c>
      <c r="T80">
        <f>T79*N44/1000</f>
        <v>9.84</v>
      </c>
      <c r="U80" s="16"/>
      <c r="V80" s="8"/>
      <c r="Z80" s="8"/>
      <c r="AA80" s="6"/>
      <c r="AB80" s="7"/>
      <c r="AC80" s="7" t="s">
        <v>128</v>
      </c>
      <c r="AD80">
        <f>(AD77)*E41</f>
        <v>23800.478963185575</v>
      </c>
      <c r="AE80" s="7"/>
      <c r="AF80" s="7"/>
      <c r="AG80" s="7"/>
      <c r="AH80" s="7"/>
      <c r="AI80" s="8"/>
    </row>
    <row r="81" spans="1:35" x14ac:dyDescent="0.2">
      <c r="A81" s="7"/>
      <c r="B81" s="7"/>
      <c r="C81" s="7"/>
      <c r="D81" s="7"/>
      <c r="K81" s="8"/>
      <c r="M81" t="s">
        <v>261</v>
      </c>
      <c r="N81">
        <f>N25*G38</f>
        <v>0</v>
      </c>
      <c r="Q81" s="8"/>
      <c r="S81" t="s">
        <v>92</v>
      </c>
      <c r="T81">
        <f>T79*N38</f>
        <v>558912</v>
      </c>
      <c r="U81" s="16"/>
      <c r="V81" s="8"/>
      <c r="Z81" s="8"/>
      <c r="AA81" s="6"/>
      <c r="AB81" s="7"/>
      <c r="AC81" s="7" t="s">
        <v>129</v>
      </c>
      <c r="AD81">
        <f>AD79*E41</f>
        <v>36719.521036814425</v>
      </c>
      <c r="AE81" s="7"/>
      <c r="AF81" s="7"/>
      <c r="AG81" s="7"/>
      <c r="AH81" s="7"/>
      <c r="AI81" s="8"/>
    </row>
    <row r="82" spans="1:35" x14ac:dyDescent="0.2">
      <c r="C82" s="3" t="s">
        <v>313</v>
      </c>
      <c r="K82" s="8"/>
      <c r="M82" t="s">
        <v>48</v>
      </c>
      <c r="N82">
        <f>N81/E38</f>
        <v>0</v>
      </c>
      <c r="Q82" s="8"/>
      <c r="S82" t="s">
        <v>93</v>
      </c>
      <c r="T82">
        <f>T81/N43/10000</f>
        <v>43.326511627906974</v>
      </c>
      <c r="U82" s="16"/>
      <c r="V82" s="8"/>
      <c r="Z82" s="8"/>
      <c r="AA82" s="6"/>
      <c r="AB82" s="7"/>
      <c r="AC82" s="7" t="s">
        <v>130</v>
      </c>
      <c r="AD82">
        <f>N25*G41</f>
        <v>13046.56</v>
      </c>
      <c r="AE82" s="7"/>
      <c r="AF82" s="7"/>
      <c r="AG82" s="7"/>
      <c r="AH82" s="7"/>
      <c r="AI82" s="8"/>
    </row>
    <row r="83" spans="1:35" x14ac:dyDescent="0.2">
      <c r="C83" t="s">
        <v>22</v>
      </c>
      <c r="D83">
        <f>G26*N25</f>
        <v>171236.1</v>
      </c>
      <c r="F83" t="s">
        <v>207</v>
      </c>
      <c r="G83" s="18">
        <f>G63*D88</f>
        <v>4.0935229292929298</v>
      </c>
      <c r="K83" s="8"/>
      <c r="M83" t="s">
        <v>262</v>
      </c>
      <c r="N83">
        <f>N82/X26/T26</f>
        <v>0</v>
      </c>
      <c r="Q83" s="8"/>
      <c r="V83" s="8"/>
      <c r="Z83" s="8"/>
      <c r="AA83" s="6"/>
      <c r="AB83" s="7"/>
      <c r="AC83" s="7" t="s">
        <v>131</v>
      </c>
      <c r="AD83">
        <f>AD82/AD80</f>
        <v>0.54816375839243958</v>
      </c>
      <c r="AE83" s="7"/>
      <c r="AF83" s="7"/>
      <c r="AG83" s="7"/>
      <c r="AH83" s="7"/>
      <c r="AI83" s="8"/>
    </row>
    <row r="84" spans="1:35" x14ac:dyDescent="0.2">
      <c r="C84" t="s">
        <v>23</v>
      </c>
      <c r="D84">
        <v>0.1</v>
      </c>
      <c r="K84" s="8"/>
      <c r="M84" t="s">
        <v>263</v>
      </c>
      <c r="N84">
        <f>(70*(N83*T26)^0.75)*365</f>
        <v>0</v>
      </c>
      <c r="Q84" s="8"/>
      <c r="S84" s="16" t="s">
        <v>183</v>
      </c>
      <c r="V84" s="8"/>
      <c r="Z84" s="8"/>
      <c r="AA84" s="6"/>
      <c r="AB84" s="7"/>
      <c r="AC84" s="7" t="s">
        <v>132</v>
      </c>
      <c r="AD84">
        <f>AD83*N31</f>
        <v>622.71402953381141</v>
      </c>
      <c r="AE84" s="7"/>
      <c r="AF84" s="7"/>
      <c r="AG84" s="7"/>
      <c r="AH84" s="7"/>
      <c r="AI84" s="8"/>
    </row>
    <row r="85" spans="1:35" x14ac:dyDescent="0.2">
      <c r="C85" t="s">
        <v>24</v>
      </c>
      <c r="D85">
        <v>0.3</v>
      </c>
      <c r="K85" s="8"/>
      <c r="M85" t="s">
        <v>264</v>
      </c>
      <c r="N85">
        <v>0.65</v>
      </c>
      <c r="O85" s="60">
        <f>SUM(N85:N87)</f>
        <v>1</v>
      </c>
      <c r="Q85" s="8"/>
      <c r="V85" s="8"/>
      <c r="Z85" s="8"/>
      <c r="AA85" s="6"/>
      <c r="AB85" s="7"/>
      <c r="AC85" s="7" t="s">
        <v>133</v>
      </c>
      <c r="AD85">
        <f>AD84*AD79</f>
        <v>25691.866188074458</v>
      </c>
      <c r="AE85" s="7"/>
      <c r="AF85" s="7"/>
      <c r="AG85" s="7"/>
      <c r="AH85" s="7"/>
      <c r="AI85" s="8"/>
    </row>
    <row r="86" spans="1:35" x14ac:dyDescent="0.2">
      <c r="C86" t="s">
        <v>25</v>
      </c>
      <c r="D86" s="18">
        <f>F26*(1-(D84+D85))</f>
        <v>4752000</v>
      </c>
      <c r="K86" s="8"/>
      <c r="M86" t="s">
        <v>265</v>
      </c>
      <c r="N86">
        <v>0.1</v>
      </c>
      <c r="O86" s="60"/>
      <c r="Q86" s="8"/>
      <c r="V86" s="8"/>
      <c r="Z86" s="8"/>
      <c r="AA86" s="6"/>
      <c r="AB86" s="7"/>
      <c r="AC86" s="11" t="s">
        <v>187</v>
      </c>
      <c r="AD86" s="7">
        <f>AD84*AD81</f>
        <v>22865760.907386266</v>
      </c>
      <c r="AE86" s="7"/>
      <c r="AF86" s="7"/>
      <c r="AG86" s="7"/>
      <c r="AH86" s="7"/>
      <c r="AI86" s="8"/>
    </row>
    <row r="87" spans="1:35" x14ac:dyDescent="0.2">
      <c r="C87" t="s">
        <v>26</v>
      </c>
      <c r="D87" s="18">
        <f>D83/D86</f>
        <v>3.6034532828282832E-2</v>
      </c>
      <c r="K87" s="8"/>
      <c r="M87" t="s">
        <v>270</v>
      </c>
      <c r="N87">
        <v>0.25</v>
      </c>
      <c r="O87" s="60"/>
      <c r="Q87" s="8"/>
      <c r="R87" s="3" t="s">
        <v>244</v>
      </c>
      <c r="V87" s="8"/>
      <c r="Z87" s="8"/>
      <c r="AA87" s="6"/>
      <c r="AB87" s="12" t="s">
        <v>137</v>
      </c>
      <c r="AC87" s="7"/>
      <c r="AD87" s="7"/>
      <c r="AE87" s="7"/>
      <c r="AF87" s="7"/>
      <c r="AG87" s="7"/>
      <c r="AH87" s="7"/>
      <c r="AI87" s="8"/>
    </row>
    <row r="88" spans="1:35" x14ac:dyDescent="0.2">
      <c r="C88" t="s">
        <v>27</v>
      </c>
      <c r="D88" s="18">
        <f>D87*N38</f>
        <v>40.9352292929293</v>
      </c>
      <c r="K88" s="8"/>
      <c r="M88" t="s">
        <v>49</v>
      </c>
      <c r="N88">
        <f>N84*N85/W31</f>
        <v>0</v>
      </c>
      <c r="Q88" s="8"/>
      <c r="V88" s="8"/>
      <c r="Z88" s="8"/>
      <c r="AA88" s="6"/>
      <c r="AB88" s="7"/>
      <c r="AC88" s="7" t="s">
        <v>135</v>
      </c>
      <c r="AD88">
        <v>0.9</v>
      </c>
      <c r="AE88" s="7" t="s">
        <v>233</v>
      </c>
      <c r="AF88" s="7"/>
      <c r="AG88" s="7"/>
      <c r="AH88" s="7"/>
      <c r="AI88" s="8"/>
    </row>
    <row r="89" spans="1:35" x14ac:dyDescent="0.2">
      <c r="K89" s="8"/>
      <c r="M89" t="s">
        <v>50</v>
      </c>
      <c r="N89">
        <f>N86*N84/W32</f>
        <v>0</v>
      </c>
      <c r="Q89" s="8"/>
      <c r="V89" s="8"/>
      <c r="Z89" s="8"/>
      <c r="AA89" s="6"/>
      <c r="AB89" s="7"/>
      <c r="AC89" s="7" t="s">
        <v>136</v>
      </c>
      <c r="AD89">
        <v>0.2</v>
      </c>
      <c r="AE89" s="7" t="s">
        <v>234</v>
      </c>
      <c r="AF89" s="7"/>
      <c r="AG89" s="7"/>
      <c r="AH89" s="7"/>
      <c r="AI89" s="8"/>
    </row>
    <row r="90" spans="1:35" x14ac:dyDescent="0.2">
      <c r="A90" s="9"/>
      <c r="B90" s="9"/>
      <c r="C90" s="9"/>
      <c r="D90" s="9"/>
      <c r="E90" s="9"/>
      <c r="F90" s="9"/>
      <c r="G90" s="9"/>
      <c r="H90" s="9"/>
      <c r="I90" s="9"/>
      <c r="J90" s="9"/>
      <c r="K90" s="10"/>
      <c r="M90" t="s">
        <v>271</v>
      </c>
      <c r="N90">
        <f>N87*N84/W33</f>
        <v>0</v>
      </c>
      <c r="Q90" s="8"/>
      <c r="V90" s="8"/>
      <c r="Z90" s="8"/>
      <c r="AA90" s="6"/>
      <c r="AB90" s="7"/>
      <c r="AC90" s="7" t="s">
        <v>143</v>
      </c>
      <c r="AD90">
        <f>(1-AD88)*AD89</f>
        <v>1.9999999999999997E-2</v>
      </c>
      <c r="AE90" s="7"/>
      <c r="AF90" s="7"/>
      <c r="AG90" s="7"/>
      <c r="AH90" s="7"/>
      <c r="AI90" s="8"/>
    </row>
    <row r="91" spans="1:35" x14ac:dyDescent="0.2">
      <c r="K91" s="8"/>
      <c r="M91" t="s">
        <v>266</v>
      </c>
      <c r="N91">
        <f>SUM(N88:N90)</f>
        <v>0</v>
      </c>
      <c r="Q91" s="8"/>
      <c r="V91" s="8"/>
      <c r="Z91" s="8"/>
      <c r="AA91" s="6"/>
      <c r="AB91" s="7"/>
      <c r="AC91" s="7" t="s">
        <v>138</v>
      </c>
      <c r="AD91">
        <f>(AD89*AD88)*E43</f>
        <v>149.4</v>
      </c>
      <c r="AE91" s="7"/>
      <c r="AF91" s="7"/>
      <c r="AG91" s="7"/>
      <c r="AH91" s="7"/>
      <c r="AI91" s="8"/>
    </row>
    <row r="92" spans="1:35" x14ac:dyDescent="0.2">
      <c r="B92" s="3" t="s">
        <v>108</v>
      </c>
      <c r="D92" s="3" t="s">
        <v>109</v>
      </c>
      <c r="E92" s="3">
        <f>D99</f>
        <v>6.0417759828016253</v>
      </c>
      <c r="K92" s="8"/>
      <c r="M92" s="3" t="s">
        <v>267</v>
      </c>
      <c r="N92">
        <f>N91*N31</f>
        <v>0</v>
      </c>
      <c r="Q92" s="8"/>
      <c r="V92" s="8"/>
      <c r="Z92" s="8"/>
      <c r="AA92" s="6"/>
      <c r="AB92" s="7"/>
      <c r="AC92" s="7" t="s">
        <v>139</v>
      </c>
      <c r="AD92">
        <f>G43*N25</f>
        <v>48924.6</v>
      </c>
      <c r="AE92" s="7"/>
      <c r="AF92" s="7"/>
      <c r="AG92" s="7"/>
      <c r="AH92" s="7"/>
      <c r="AI92" s="8"/>
    </row>
    <row r="93" spans="1:35" x14ac:dyDescent="0.2">
      <c r="B93" s="3" t="s">
        <v>311</v>
      </c>
      <c r="K93" s="8"/>
      <c r="M93" s="3" t="s">
        <v>272</v>
      </c>
      <c r="N93">
        <f>N83*N31</f>
        <v>0</v>
      </c>
      <c r="Q93" s="8"/>
      <c r="V93" s="8"/>
      <c r="Z93" s="8"/>
      <c r="AA93" s="6"/>
      <c r="AB93" s="7"/>
      <c r="AC93" s="7" t="s">
        <v>140</v>
      </c>
      <c r="AD93">
        <f>AD92/AD91</f>
        <v>327.47389558232931</v>
      </c>
      <c r="AF93" s="7"/>
      <c r="AG93" s="7"/>
      <c r="AH93" s="7"/>
      <c r="AI93" s="8"/>
    </row>
    <row r="94" spans="1:35" x14ac:dyDescent="0.2">
      <c r="C94" t="s">
        <v>22</v>
      </c>
      <c r="D94">
        <f>N25*G29</f>
        <v>20385.25</v>
      </c>
      <c r="K94" s="8"/>
      <c r="Q94" s="8"/>
      <c r="V94" s="8"/>
      <c r="Z94" s="8"/>
      <c r="AA94" s="6"/>
      <c r="AB94" s="7"/>
      <c r="AC94" s="7" t="s">
        <v>141</v>
      </c>
      <c r="AD94">
        <f>AD93*N31</f>
        <v>372010.3453815261</v>
      </c>
      <c r="AE94" s="7" t="s">
        <v>317</v>
      </c>
      <c r="AF94" s="7"/>
      <c r="AG94" s="7"/>
      <c r="AH94" s="7"/>
      <c r="AI94" s="8"/>
    </row>
    <row r="95" spans="1:35" x14ac:dyDescent="0.2">
      <c r="C95" t="s">
        <v>23</v>
      </c>
      <c r="D95">
        <v>0</v>
      </c>
      <c r="K95" s="8"/>
      <c r="Q95" s="8"/>
      <c r="V95" s="8"/>
      <c r="Z95" s="8"/>
      <c r="AA95" s="6"/>
      <c r="AB95" s="7"/>
      <c r="AC95" s="7" t="s">
        <v>142</v>
      </c>
      <c r="AD95">
        <f>AD90*AD94</f>
        <v>7440.2069076305206</v>
      </c>
      <c r="AE95" s="7"/>
      <c r="AF95" s="7"/>
      <c r="AG95" s="7"/>
      <c r="AH95" s="7"/>
      <c r="AI95" s="8"/>
    </row>
    <row r="96" spans="1:35" x14ac:dyDescent="0.2">
      <c r="C96" t="s">
        <v>24</v>
      </c>
      <c r="D96">
        <v>0.3</v>
      </c>
      <c r="K96" s="8"/>
      <c r="Q96" s="8"/>
      <c r="V96" s="8"/>
      <c r="Z96" s="8"/>
      <c r="AA96" s="6"/>
      <c r="AB96" s="7"/>
      <c r="AC96" s="7" t="s">
        <v>144</v>
      </c>
      <c r="AD96">
        <f>AD95*E42</f>
        <v>8935688.496064255</v>
      </c>
      <c r="AE96" s="7"/>
      <c r="AF96" s="7"/>
      <c r="AG96" s="7"/>
      <c r="AH96" s="7"/>
      <c r="AI96" s="8"/>
    </row>
    <row r="97" spans="3:35" x14ac:dyDescent="0.2">
      <c r="C97" t="s">
        <v>25</v>
      </c>
      <c r="D97" s="18">
        <f>F29*(1-SUM(D95:D96))</f>
        <v>3832919.9999999995</v>
      </c>
      <c r="K97" s="8"/>
      <c r="Q97" s="8"/>
      <c r="V97" s="8"/>
      <c r="Z97" s="8"/>
      <c r="AA97" s="6"/>
      <c r="AB97" s="7"/>
      <c r="AC97" s="7"/>
      <c r="AD97" s="7"/>
      <c r="AE97" s="7"/>
      <c r="AF97" s="7"/>
      <c r="AG97" s="7"/>
      <c r="AH97" s="7"/>
      <c r="AI97" s="8"/>
    </row>
    <row r="98" spans="3:35" x14ac:dyDescent="0.2">
      <c r="C98" t="s">
        <v>26</v>
      </c>
      <c r="D98">
        <f>D94/D97</f>
        <v>5.3184647735929798E-3</v>
      </c>
      <c r="K98" s="8"/>
      <c r="Q98" s="8"/>
      <c r="V98" s="8"/>
      <c r="Z98" s="8"/>
      <c r="AA98" s="6"/>
      <c r="AB98" s="12" t="s">
        <v>121</v>
      </c>
      <c r="AC98" s="7"/>
      <c r="AD98" s="7"/>
      <c r="AE98" s="7"/>
      <c r="AF98" s="7"/>
      <c r="AG98" s="7"/>
      <c r="AH98" s="7"/>
      <c r="AI98" s="8"/>
    </row>
    <row r="99" spans="3:35" x14ac:dyDescent="0.2">
      <c r="C99" t="s">
        <v>27</v>
      </c>
      <c r="D99">
        <f>D98*N38</f>
        <v>6.0417759828016253</v>
      </c>
      <c r="K99" s="8"/>
      <c r="Q99" s="8"/>
      <c r="V99" s="8"/>
      <c r="Z99" s="8"/>
      <c r="AA99" s="6"/>
      <c r="AB99" s="7"/>
      <c r="AC99" s="7" t="s">
        <v>145</v>
      </c>
      <c r="AD99" s="7">
        <v>0.5</v>
      </c>
      <c r="AE99" s="7" t="s">
        <v>113</v>
      </c>
      <c r="AF99" s="7"/>
      <c r="AG99" s="7"/>
      <c r="AH99" s="7"/>
      <c r="AI99" s="8"/>
    </row>
    <row r="100" spans="3:35" x14ac:dyDescent="0.2">
      <c r="K100" s="8"/>
      <c r="Q100" s="8"/>
      <c r="V100" s="8"/>
      <c r="Z100" s="8"/>
      <c r="AA100" s="6"/>
      <c r="AB100" s="7"/>
      <c r="AC100" s="7" t="s">
        <v>146</v>
      </c>
      <c r="AD100" s="7">
        <f>AD99*365</f>
        <v>182.5</v>
      </c>
      <c r="AE100" s="7"/>
      <c r="AF100" s="7"/>
      <c r="AG100" s="7"/>
      <c r="AH100" s="7"/>
      <c r="AI100" s="8"/>
    </row>
    <row r="101" spans="3:35" x14ac:dyDescent="0.2">
      <c r="K101" s="8"/>
      <c r="Q101" s="8"/>
      <c r="V101" s="8"/>
      <c r="Z101" s="8"/>
      <c r="AA101" s="6"/>
      <c r="AB101" s="7"/>
      <c r="AC101" s="7" t="s">
        <v>148</v>
      </c>
      <c r="AD101" s="7">
        <f>V35</f>
        <v>890</v>
      </c>
      <c r="AE101" s="7"/>
      <c r="AF101" s="7"/>
      <c r="AG101" s="7"/>
      <c r="AH101" s="7"/>
      <c r="AI101" s="8"/>
    </row>
    <row r="102" spans="3:35" x14ac:dyDescent="0.2">
      <c r="K102" s="8"/>
      <c r="Q102" s="8"/>
      <c r="V102" s="8"/>
      <c r="Z102" s="8"/>
      <c r="AA102" s="6"/>
      <c r="AB102" s="7"/>
      <c r="AC102" s="7" t="s">
        <v>147</v>
      </c>
      <c r="AD102" s="7">
        <f>AD100*AD101</f>
        <v>162425</v>
      </c>
      <c r="AE102" s="7"/>
      <c r="AF102" s="7"/>
      <c r="AG102" s="7"/>
      <c r="AH102" s="7"/>
      <c r="AI102" s="8"/>
    </row>
    <row r="103" spans="3:35" x14ac:dyDescent="0.2">
      <c r="K103" s="8"/>
      <c r="Q103" s="8"/>
      <c r="V103" s="8"/>
      <c r="Z103" s="8"/>
      <c r="AA103" s="6"/>
      <c r="AB103" s="7"/>
      <c r="AC103" s="7" t="s">
        <v>150</v>
      </c>
      <c r="AD103" s="7">
        <f>AD100*N31</f>
        <v>207320</v>
      </c>
      <c r="AE103" s="7"/>
      <c r="AF103" s="7"/>
      <c r="AG103" s="7"/>
      <c r="AH103" s="7"/>
      <c r="AI103" s="8"/>
    </row>
    <row r="104" spans="3:35" x14ac:dyDescent="0.2">
      <c r="K104" s="8"/>
      <c r="Q104" s="8"/>
      <c r="V104" s="8"/>
      <c r="Z104" s="8"/>
      <c r="AA104" s="6"/>
      <c r="AB104" s="7"/>
      <c r="AC104" s="7" t="s">
        <v>149</v>
      </c>
      <c r="AD104" s="7">
        <f>AD102*N38</f>
        <v>184514800</v>
      </c>
      <c r="AE104" s="7"/>
      <c r="AF104" s="7"/>
      <c r="AG104" s="7"/>
      <c r="AH104" s="7"/>
      <c r="AI104" s="8"/>
    </row>
    <row r="105" spans="3:35" x14ac:dyDescent="0.2">
      <c r="K105" s="8"/>
      <c r="Q105" s="8"/>
      <c r="V105" s="8"/>
      <c r="Z105" s="8"/>
      <c r="AA105" s="6"/>
      <c r="AB105" s="7"/>
      <c r="AC105" s="7"/>
      <c r="AD105" s="7"/>
      <c r="AE105" s="7"/>
      <c r="AF105" s="7"/>
      <c r="AG105" s="7"/>
      <c r="AH105" s="7"/>
      <c r="AI105" s="8"/>
    </row>
    <row r="106" spans="3:35" x14ac:dyDescent="0.2">
      <c r="Z106" s="8"/>
      <c r="AA106" s="23"/>
      <c r="AB106" s="9"/>
      <c r="AC106" s="9"/>
      <c r="AD106" s="9"/>
      <c r="AE106" s="9"/>
      <c r="AF106" s="9"/>
      <c r="AG106" s="9"/>
      <c r="AH106" s="9"/>
      <c r="AI106" s="10"/>
    </row>
  </sheetData>
  <mergeCells count="10">
    <mergeCell ref="F74:F76"/>
    <mergeCell ref="G74:G76"/>
    <mergeCell ref="O85:O87"/>
    <mergeCell ref="B25:B33"/>
    <mergeCell ref="O53:O54"/>
    <mergeCell ref="O69:O71"/>
    <mergeCell ref="G67:G68"/>
    <mergeCell ref="F67:F68"/>
    <mergeCell ref="B34:B39"/>
    <mergeCell ref="B40:B4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12BBEE-C40D-584F-A92C-3A25D33E089F}">
  <dimension ref="A1:AI106"/>
  <sheetViews>
    <sheetView topLeftCell="A31" workbookViewId="0">
      <selection activeCell="H41" sqref="H41"/>
    </sheetView>
  </sheetViews>
  <sheetFormatPr baseColWidth="10" defaultRowHeight="16" x14ac:dyDescent="0.2"/>
  <cols>
    <col min="1" max="1" width="13.33203125" customWidth="1"/>
    <col min="2" max="2" width="14" customWidth="1"/>
    <col min="3" max="3" width="34.6640625" customWidth="1"/>
    <col min="4" max="4" width="19" customWidth="1"/>
    <col min="6" max="6" width="15" customWidth="1"/>
    <col min="13" max="13" width="43.5" customWidth="1"/>
    <col min="18" max="18" width="14.6640625" customWidth="1"/>
    <col min="19" max="19" width="43.83203125" customWidth="1"/>
    <col min="20" max="20" width="17.5" customWidth="1"/>
    <col min="22" max="22" width="14.5" customWidth="1"/>
    <col min="23" max="23" width="23.5" customWidth="1"/>
    <col min="24" max="24" width="33" customWidth="1"/>
    <col min="27" max="27" width="22.83203125" bestFit="1" customWidth="1"/>
    <col min="28" max="28" width="13.33203125" customWidth="1"/>
    <col min="29" max="29" width="50.1640625" bestFit="1" customWidth="1"/>
    <col min="30" max="30" width="12.1640625" bestFit="1" customWidth="1"/>
    <col min="33" max="33" width="45.6640625" bestFit="1" customWidth="1"/>
  </cols>
  <sheetData>
    <row r="1" spans="1:5" ht="21" x14ac:dyDescent="0.25">
      <c r="A1" s="2" t="s">
        <v>0</v>
      </c>
    </row>
    <row r="2" spans="1:5" ht="21" x14ac:dyDescent="0.25">
      <c r="A2" s="2" t="s">
        <v>167</v>
      </c>
      <c r="B2" s="2">
        <v>1800</v>
      </c>
    </row>
    <row r="3" spans="1:5" s="9" customFormat="1" ht="21" x14ac:dyDescent="0.25">
      <c r="A3" s="19" t="s">
        <v>166</v>
      </c>
      <c r="B3" s="19" t="s">
        <v>299</v>
      </c>
    </row>
    <row r="7" spans="1:5" ht="19" x14ac:dyDescent="0.25">
      <c r="B7" s="20" t="s">
        <v>168</v>
      </c>
      <c r="C7" s="4"/>
      <c r="D7" s="4"/>
      <c r="E7" s="5"/>
    </row>
    <row r="8" spans="1:5" x14ac:dyDescent="0.2">
      <c r="B8" s="21" t="s">
        <v>169</v>
      </c>
      <c r="C8" s="12" t="s">
        <v>251</v>
      </c>
      <c r="D8" s="12" t="s">
        <v>104</v>
      </c>
      <c r="E8" s="22" t="s">
        <v>252</v>
      </c>
    </row>
    <row r="9" spans="1:5" x14ac:dyDescent="0.2">
      <c r="B9" s="6">
        <v>1</v>
      </c>
      <c r="C9" s="7" t="s">
        <v>105</v>
      </c>
      <c r="D9" s="15">
        <f>N34*(N38/N31)</f>
        <v>5.5500000000000007</v>
      </c>
      <c r="E9" s="8">
        <v>1</v>
      </c>
    </row>
    <row r="10" spans="1:5" x14ac:dyDescent="0.2">
      <c r="B10" s="6">
        <v>2</v>
      </c>
      <c r="C10" s="7" t="s">
        <v>212</v>
      </c>
      <c r="D10" s="15">
        <f>E48+G69</f>
        <v>112.31717880032849</v>
      </c>
      <c r="E10" s="8">
        <v>2</v>
      </c>
    </row>
    <row r="11" spans="1:5" x14ac:dyDescent="0.2">
      <c r="B11" s="6">
        <v>3</v>
      </c>
      <c r="C11" s="7" t="s">
        <v>213</v>
      </c>
      <c r="D11" s="15">
        <f>E57</f>
        <v>120.10827171695908</v>
      </c>
      <c r="E11" s="8">
        <v>3</v>
      </c>
    </row>
    <row r="12" spans="1:5" x14ac:dyDescent="0.2">
      <c r="B12" s="6">
        <v>4</v>
      </c>
      <c r="C12" s="7" t="s">
        <v>214</v>
      </c>
      <c r="D12" s="15">
        <f>D11/(1/3)-D11</f>
        <v>240.21654343391819</v>
      </c>
      <c r="E12" s="8">
        <v>4</v>
      </c>
    </row>
    <row r="13" spans="1:5" x14ac:dyDescent="0.2">
      <c r="B13" s="6">
        <v>5</v>
      </c>
      <c r="C13" s="7" t="s">
        <v>285</v>
      </c>
      <c r="D13" s="15">
        <f>N75+N92</f>
        <v>0</v>
      </c>
      <c r="E13" s="8">
        <v>4</v>
      </c>
    </row>
    <row r="14" spans="1:5" x14ac:dyDescent="0.2">
      <c r="B14" s="6">
        <v>6</v>
      </c>
      <c r="C14" s="7" t="s">
        <v>215</v>
      </c>
      <c r="D14" s="15">
        <f>E92</f>
        <v>6.0417759828016253</v>
      </c>
      <c r="E14" s="8">
        <v>5</v>
      </c>
    </row>
    <row r="15" spans="1:5" x14ac:dyDescent="0.2">
      <c r="B15" s="6">
        <v>7</v>
      </c>
      <c r="C15" s="7" t="s">
        <v>216</v>
      </c>
      <c r="D15" s="15">
        <f>U47</f>
        <v>85.199999999999989</v>
      </c>
      <c r="E15" s="8">
        <v>5</v>
      </c>
    </row>
    <row r="16" spans="1:5" x14ac:dyDescent="0.2">
      <c r="B16" s="6">
        <v>8</v>
      </c>
      <c r="C16" s="7" t="s">
        <v>238</v>
      </c>
      <c r="D16" s="15">
        <f>N58</f>
        <v>60.675686759809338</v>
      </c>
      <c r="E16" s="8">
        <v>6</v>
      </c>
    </row>
    <row r="17" spans="1:35" x14ac:dyDescent="0.2">
      <c r="B17" s="6">
        <v>9</v>
      </c>
      <c r="C17" s="7" t="s">
        <v>106</v>
      </c>
      <c r="D17" s="15">
        <f>Y52</f>
        <v>1389.99584304</v>
      </c>
      <c r="E17" s="8">
        <v>6</v>
      </c>
    </row>
    <row r="18" spans="1:35" x14ac:dyDescent="0.2">
      <c r="B18" s="6">
        <v>10</v>
      </c>
      <c r="C18" s="7" t="s">
        <v>211</v>
      </c>
      <c r="D18" s="15">
        <f>SUM(D9:D15)+D16</f>
        <v>630.1094566938167</v>
      </c>
      <c r="E18" s="8" t="s">
        <v>16</v>
      </c>
    </row>
    <row r="19" spans="1:35" x14ac:dyDescent="0.2">
      <c r="B19" s="23">
        <v>11</v>
      </c>
      <c r="C19" s="46" t="s">
        <v>253</v>
      </c>
      <c r="D19" s="41">
        <f>SUM(D9:D17)</f>
        <v>2020.1052997338165</v>
      </c>
      <c r="E19" s="10" t="s">
        <v>16</v>
      </c>
    </row>
    <row r="21" spans="1:35" s="4" customFormat="1" x14ac:dyDescent="0.2">
      <c r="A21" s="26"/>
      <c r="K21" s="5"/>
      <c r="Q21" s="5"/>
      <c r="R21" s="26"/>
      <c r="Z21" s="5"/>
      <c r="AA21" s="26"/>
      <c r="AI21" s="5"/>
    </row>
    <row r="22" spans="1:35" ht="19" x14ac:dyDescent="0.25">
      <c r="A22" s="27" t="s">
        <v>170</v>
      </c>
      <c r="C22" s="7"/>
      <c r="D22" s="7"/>
      <c r="E22" s="7"/>
      <c r="F22" s="7"/>
      <c r="G22" s="7"/>
      <c r="H22" s="7"/>
      <c r="I22" s="7"/>
      <c r="J22" s="7"/>
      <c r="K22" s="8"/>
      <c r="L22" s="7"/>
      <c r="M22" s="7"/>
      <c r="N22" s="7"/>
      <c r="O22" s="7"/>
      <c r="P22" s="7"/>
      <c r="Q22" s="8"/>
      <c r="R22" s="6"/>
      <c r="S22" s="7"/>
      <c r="T22" s="7"/>
      <c r="U22" s="7"/>
      <c r="V22" s="7"/>
      <c r="W22" s="7"/>
      <c r="X22" s="7"/>
      <c r="Y22" s="7"/>
      <c r="Z22" s="8"/>
      <c r="AA22" s="6"/>
      <c r="AB22" s="7"/>
      <c r="AC22" s="7"/>
      <c r="AD22" s="7"/>
      <c r="AE22" s="7"/>
      <c r="AF22" s="7"/>
      <c r="AG22" s="7"/>
      <c r="AH22" s="7"/>
      <c r="AI22" s="8"/>
    </row>
    <row r="23" spans="1:35" ht="19" x14ac:dyDescent="0.25">
      <c r="A23" s="24" t="s">
        <v>28</v>
      </c>
      <c r="C23" s="7"/>
      <c r="D23" s="7"/>
      <c r="E23" s="7"/>
      <c r="F23" s="7"/>
      <c r="G23" s="7"/>
      <c r="H23" s="7"/>
      <c r="I23" s="7"/>
      <c r="J23" s="7"/>
      <c r="K23" s="8"/>
      <c r="L23" s="24" t="s">
        <v>31</v>
      </c>
      <c r="N23" s="7"/>
      <c r="O23" s="7"/>
      <c r="P23" s="7"/>
      <c r="Q23" s="8"/>
      <c r="R23" s="31" t="s">
        <v>45</v>
      </c>
      <c r="S23" s="7"/>
      <c r="T23" s="7"/>
      <c r="U23" s="7"/>
      <c r="V23" s="7"/>
      <c r="W23" s="7"/>
      <c r="X23" s="7"/>
      <c r="Y23" s="7"/>
      <c r="Z23" s="8"/>
      <c r="AA23" s="31" t="s">
        <v>152</v>
      </c>
      <c r="AB23" s="7"/>
      <c r="AC23" s="7"/>
      <c r="AD23" s="7"/>
      <c r="AE23" s="7"/>
      <c r="AF23" s="7"/>
      <c r="AG23" s="7"/>
      <c r="AH23" s="7"/>
      <c r="AI23" s="8"/>
    </row>
    <row r="24" spans="1:35" ht="34" x14ac:dyDescent="0.2">
      <c r="A24" s="6"/>
      <c r="B24" s="51"/>
      <c r="C24" s="51" t="s">
        <v>1</v>
      </c>
      <c r="D24" s="51" t="s">
        <v>2</v>
      </c>
      <c r="E24" s="47" t="s">
        <v>3</v>
      </c>
      <c r="F24" s="47" t="s">
        <v>4</v>
      </c>
      <c r="G24" s="48" t="s">
        <v>44</v>
      </c>
      <c r="H24" t="s">
        <v>18</v>
      </c>
      <c r="I24" s="7"/>
      <c r="J24" s="7"/>
      <c r="K24" s="8"/>
      <c r="L24" s="7"/>
      <c r="M24" s="7" t="s">
        <v>29</v>
      </c>
      <c r="N24" s="7">
        <v>2234</v>
      </c>
      <c r="O24" s="7" t="s">
        <v>172</v>
      </c>
      <c r="P24" s="7"/>
      <c r="Q24" s="8"/>
      <c r="R24" s="6"/>
      <c r="S24" s="33" t="s">
        <v>47</v>
      </c>
      <c r="T24" s="28">
        <v>45</v>
      </c>
      <c r="U24" s="7"/>
      <c r="V24" s="7"/>
      <c r="W24" s="14" t="s">
        <v>52</v>
      </c>
      <c r="X24" s="28">
        <v>7.3599999999999999E-2</v>
      </c>
      <c r="Y24" s="7" t="s">
        <v>274</v>
      </c>
      <c r="Z24" s="8"/>
      <c r="AA24" s="6"/>
      <c r="AB24" s="7"/>
      <c r="AC24" s="12" t="s">
        <v>153</v>
      </c>
      <c r="AD24" s="12" t="s">
        <v>154</v>
      </c>
      <c r="AE24" s="7"/>
      <c r="AF24" s="7"/>
      <c r="AG24" s="7" t="s">
        <v>161</v>
      </c>
      <c r="AH24" s="7">
        <f>N59</f>
        <v>391.23754978607303</v>
      </c>
      <c r="AI24" s="8"/>
    </row>
    <row r="25" spans="1:35" ht="34" x14ac:dyDescent="0.2">
      <c r="A25" s="6"/>
      <c r="B25" s="61" t="s">
        <v>17</v>
      </c>
      <c r="C25" t="s">
        <v>5</v>
      </c>
      <c r="D25" s="51">
        <v>1650</v>
      </c>
      <c r="E25" s="54">
        <v>3540</v>
      </c>
      <c r="F25" s="49">
        <f>D25*E25</f>
        <v>5841000</v>
      </c>
      <c r="G25" s="51">
        <v>0.32</v>
      </c>
      <c r="I25" s="7"/>
      <c r="L25" s="7"/>
      <c r="M25" s="7" t="s">
        <v>30</v>
      </c>
      <c r="N25" s="7">
        <f>N24*365</f>
        <v>815410</v>
      </c>
      <c r="O25" s="7"/>
      <c r="P25" s="7"/>
      <c r="Q25" s="8"/>
      <c r="R25" s="6"/>
      <c r="S25" s="33" t="s">
        <v>46</v>
      </c>
      <c r="T25" s="28">
        <v>436</v>
      </c>
      <c r="U25" s="32" t="s">
        <v>218</v>
      </c>
      <c r="V25" s="7"/>
      <c r="W25" s="14" t="s">
        <v>53</v>
      </c>
      <c r="X25" s="28">
        <v>0.222</v>
      </c>
      <c r="Y25" s="32" t="s">
        <v>275</v>
      </c>
      <c r="Z25" s="8"/>
      <c r="AA25" s="6"/>
      <c r="AB25" s="12" t="s">
        <v>151</v>
      </c>
      <c r="AC25" s="36">
        <f>AD56/1000</f>
        <v>594641.71070220461</v>
      </c>
      <c r="AD25" s="36">
        <f>AC25*$AB$39</f>
        <v>285428021.1370582</v>
      </c>
      <c r="AE25" s="7"/>
      <c r="AF25" s="7"/>
      <c r="AG25" s="7" t="s">
        <v>162</v>
      </c>
      <c r="AH25" s="7">
        <f>N52/N51</f>
        <v>579475.04789838311</v>
      </c>
      <c r="AI25" s="8"/>
    </row>
    <row r="26" spans="1:35" ht="34" x14ac:dyDescent="0.2">
      <c r="A26" s="6"/>
      <c r="B26" s="61"/>
      <c r="C26" t="s">
        <v>315</v>
      </c>
      <c r="D26" s="51">
        <v>6000</v>
      </c>
      <c r="E26" s="54">
        <v>1320</v>
      </c>
      <c r="F26" s="49">
        <f t="shared" ref="F26:F32" si="0">D26*E26</f>
        <v>7920000</v>
      </c>
      <c r="G26" s="51">
        <v>0.21</v>
      </c>
      <c r="I26" s="7"/>
      <c r="J26" s="7"/>
      <c r="K26" s="8"/>
      <c r="L26" s="7"/>
      <c r="M26" s="7"/>
      <c r="N26" s="7"/>
      <c r="O26" s="7"/>
      <c r="P26" s="7"/>
      <c r="Q26" s="8"/>
      <c r="R26" s="6"/>
      <c r="S26" s="33" t="s">
        <v>269</v>
      </c>
      <c r="T26" s="28">
        <v>35</v>
      </c>
      <c r="U26" s="7"/>
      <c r="V26" s="7"/>
      <c r="W26" s="14" t="s">
        <v>273</v>
      </c>
      <c r="X26" s="28">
        <v>0.113</v>
      </c>
      <c r="Y26" s="7" t="s">
        <v>274</v>
      </c>
      <c r="Z26" s="8"/>
      <c r="AA26" s="6"/>
      <c r="AB26" s="12" t="s">
        <v>155</v>
      </c>
      <c r="AC26" s="36">
        <f>AD65/1000</f>
        <v>266191.02366315789</v>
      </c>
      <c r="AD26" s="36">
        <f>AC26*$AB$39</f>
        <v>127771691.35831578</v>
      </c>
      <c r="AE26" s="7"/>
      <c r="AF26" s="7"/>
      <c r="AG26" s="7" t="s">
        <v>163</v>
      </c>
      <c r="AH26" s="36">
        <f>AH25*AH24</f>
        <v>226712397.90193072</v>
      </c>
      <c r="AI26" s="8"/>
    </row>
    <row r="27" spans="1:35" ht="16" customHeight="1" x14ac:dyDescent="0.2">
      <c r="A27" s="6"/>
      <c r="B27" s="61"/>
      <c r="C27" t="s">
        <v>120</v>
      </c>
      <c r="D27" s="51">
        <v>2000</v>
      </c>
      <c r="E27" s="54">
        <v>1110</v>
      </c>
      <c r="F27" s="49">
        <f t="shared" si="0"/>
        <v>2220000</v>
      </c>
      <c r="G27" s="51">
        <v>2.1999999999999999E-2</v>
      </c>
      <c r="I27" s="7"/>
      <c r="J27" s="7"/>
      <c r="K27" s="8"/>
      <c r="L27" s="9"/>
      <c r="M27" s="9"/>
      <c r="N27" s="9"/>
      <c r="O27" s="9"/>
      <c r="P27" s="9"/>
      <c r="Q27" s="10"/>
      <c r="R27" s="6"/>
      <c r="S27" s="7"/>
      <c r="T27" s="7"/>
      <c r="U27" s="7"/>
      <c r="V27" s="7"/>
      <c r="W27" s="7"/>
      <c r="X27" s="7"/>
      <c r="Y27" s="7"/>
      <c r="Z27" s="8"/>
      <c r="AA27" s="6"/>
      <c r="AB27" s="12" t="s">
        <v>156</v>
      </c>
      <c r="AC27" s="36">
        <f>AD74/1000</f>
        <v>56326.066285549561</v>
      </c>
      <c r="AD27" s="36">
        <f>AC27*AB40</f>
        <v>13574581.974817444</v>
      </c>
      <c r="AE27" s="7"/>
      <c r="AF27" s="7"/>
      <c r="AG27" s="7"/>
      <c r="AH27" s="7"/>
      <c r="AI27" s="8"/>
    </row>
    <row r="28" spans="1:35" x14ac:dyDescent="0.2">
      <c r="A28" s="6"/>
      <c r="B28" s="61"/>
      <c r="C28" t="s">
        <v>276</v>
      </c>
      <c r="D28" s="51">
        <v>5000</v>
      </c>
      <c r="E28" s="54">
        <v>950</v>
      </c>
      <c r="F28" s="49">
        <f t="shared" si="0"/>
        <v>4750000</v>
      </c>
      <c r="G28" s="51">
        <v>0.21</v>
      </c>
      <c r="I28" s="7"/>
      <c r="J28" s="7"/>
      <c r="K28" s="8"/>
      <c r="L28" s="7"/>
      <c r="M28" s="7"/>
      <c r="N28" s="7"/>
      <c r="O28" s="7"/>
      <c r="P28" s="7"/>
      <c r="Q28" s="8"/>
      <c r="R28" s="6"/>
      <c r="S28" s="7"/>
      <c r="T28" s="7"/>
      <c r="Y28" s="7"/>
      <c r="Z28" s="8"/>
      <c r="AA28" s="6"/>
      <c r="AB28" s="12" t="s">
        <v>157</v>
      </c>
      <c r="AC28" s="36">
        <f>AD85</f>
        <v>25691.866188074458</v>
      </c>
      <c r="AD28" s="36">
        <f>AD86</f>
        <v>22865760.907386266</v>
      </c>
      <c r="AE28" s="7"/>
      <c r="AF28" s="7"/>
      <c r="AG28" s="7"/>
      <c r="AH28" s="7"/>
      <c r="AI28" s="8"/>
    </row>
    <row r="29" spans="1:35" ht="19" x14ac:dyDescent="0.25">
      <c r="A29" s="6"/>
      <c r="B29" s="61"/>
      <c r="C29" t="s">
        <v>311</v>
      </c>
      <c r="D29" s="51">
        <v>5070</v>
      </c>
      <c r="E29" s="54">
        <v>1080</v>
      </c>
      <c r="F29" s="49">
        <f t="shared" si="0"/>
        <v>5475600</v>
      </c>
      <c r="G29" s="51">
        <v>2.5000000000000001E-2</v>
      </c>
      <c r="I29" s="7"/>
      <c r="J29" s="7"/>
      <c r="K29" s="8"/>
      <c r="L29" s="24" t="s">
        <v>32</v>
      </c>
      <c r="N29" s="7"/>
      <c r="O29" s="7"/>
      <c r="P29" s="7"/>
      <c r="Q29" s="8"/>
      <c r="R29" s="6"/>
      <c r="S29" s="7"/>
      <c r="T29" s="7"/>
      <c r="U29" s="28" t="s">
        <v>56</v>
      </c>
      <c r="V29" s="28" t="s">
        <v>57</v>
      </c>
      <c r="W29" s="28" t="s">
        <v>58</v>
      </c>
      <c r="X29" s="7"/>
      <c r="Y29" s="7"/>
      <c r="Z29" s="8"/>
      <c r="AA29" s="6"/>
      <c r="AB29" s="12" t="s">
        <v>158</v>
      </c>
      <c r="AC29" s="36">
        <f>AD95</f>
        <v>7440.2069076305206</v>
      </c>
      <c r="AD29" s="36">
        <f t="shared" ref="AD29" si="1">AC29*$AB$39</f>
        <v>3571299.3156626499</v>
      </c>
      <c r="AE29" s="7"/>
      <c r="AF29" s="7"/>
      <c r="AG29" s="7" t="s">
        <v>164</v>
      </c>
      <c r="AH29" s="7" t="str">
        <f>IF(AD31&gt;AH26,"YES","NO")</f>
        <v>YES</v>
      </c>
      <c r="AI29" s="8"/>
    </row>
    <row r="30" spans="1:35" x14ac:dyDescent="0.2">
      <c r="A30" s="6"/>
      <c r="B30" s="61"/>
      <c r="C30" t="s">
        <v>7</v>
      </c>
      <c r="D30" s="49" t="s">
        <v>16</v>
      </c>
      <c r="E30" s="49" t="s">
        <v>16</v>
      </c>
      <c r="F30" s="49" t="s">
        <v>16</v>
      </c>
      <c r="G30" s="51">
        <v>0</v>
      </c>
      <c r="I30" s="7"/>
      <c r="J30" s="7"/>
      <c r="K30" s="8"/>
      <c r="L30" s="7"/>
      <c r="M30" s="12" t="s">
        <v>34</v>
      </c>
      <c r="N30" s="12" t="s">
        <v>35</v>
      </c>
      <c r="O30" s="12" t="s">
        <v>36</v>
      </c>
      <c r="P30" s="7"/>
      <c r="Q30" s="8"/>
      <c r="R30" s="6"/>
      <c r="T30" s="12"/>
      <c r="U30" s="28" t="s">
        <v>59</v>
      </c>
      <c r="V30" s="28" t="s">
        <v>60</v>
      </c>
      <c r="W30" s="28" t="s">
        <v>61</v>
      </c>
      <c r="X30" s="7" t="s">
        <v>177</v>
      </c>
      <c r="Y30" s="7"/>
      <c r="Z30" s="8"/>
      <c r="AA30" s="6"/>
      <c r="AB30" s="12" t="s">
        <v>159</v>
      </c>
      <c r="AC30" s="36">
        <f>AD103</f>
        <v>207320</v>
      </c>
      <c r="AD30" s="36">
        <f>AD104</f>
        <v>184514800</v>
      </c>
      <c r="AE30" s="7"/>
      <c r="AF30" s="7"/>
      <c r="AG30" s="7" t="s">
        <v>165</v>
      </c>
      <c r="AH30" s="15">
        <f>AD31/AH26</f>
        <v>2.8129302172927586</v>
      </c>
      <c r="AI30" s="8"/>
    </row>
    <row r="31" spans="1:35" x14ac:dyDescent="0.2">
      <c r="A31" s="6"/>
      <c r="B31" s="61"/>
      <c r="C31" t="s">
        <v>8</v>
      </c>
      <c r="D31" s="51" t="s">
        <v>16</v>
      </c>
      <c r="E31" s="49" t="s">
        <v>16</v>
      </c>
      <c r="F31" s="49" t="s">
        <v>16</v>
      </c>
      <c r="G31" s="51">
        <v>0</v>
      </c>
      <c r="I31" s="7"/>
      <c r="J31" s="7"/>
      <c r="K31" s="8"/>
      <c r="L31" s="7"/>
      <c r="M31" s="12" t="s">
        <v>33</v>
      </c>
      <c r="N31" s="12">
        <f>N32*N33</f>
        <v>1136</v>
      </c>
      <c r="O31" s="7"/>
      <c r="P31" s="7"/>
      <c r="Q31" s="8"/>
      <c r="R31" s="6"/>
      <c r="S31" s="33" t="s">
        <v>179</v>
      </c>
      <c r="T31" s="12" t="s">
        <v>62</v>
      </c>
      <c r="U31" s="7">
        <v>700</v>
      </c>
      <c r="V31" s="7">
        <v>1452</v>
      </c>
      <c r="W31" s="7">
        <f>U31*V31</f>
        <v>1016400</v>
      </c>
      <c r="X31" s="32" t="s">
        <v>178</v>
      </c>
      <c r="Y31" s="7"/>
      <c r="Z31" s="8"/>
      <c r="AA31" s="6"/>
      <c r="AB31" s="12" t="s">
        <v>160</v>
      </c>
      <c r="AC31" s="36">
        <f>SUM(AC25:AC30)</f>
        <v>1157610.873746617</v>
      </c>
      <c r="AD31" s="36">
        <f>SUM(AD25:AD30)</f>
        <v>637726154.69324028</v>
      </c>
      <c r="AE31" s="7"/>
      <c r="AF31" s="7"/>
      <c r="AG31" s="11" t="s">
        <v>235</v>
      </c>
      <c r="AH31" s="15">
        <f>(AD25+AD26+AD27+AD30)/AH26</f>
        <v>2.6963196548898822</v>
      </c>
      <c r="AI31" s="8"/>
    </row>
    <row r="32" spans="1:35" x14ac:dyDescent="0.2">
      <c r="A32" s="6"/>
      <c r="B32" s="61"/>
      <c r="C32" t="s">
        <v>277</v>
      </c>
      <c r="D32" s="51">
        <v>12000</v>
      </c>
      <c r="E32" s="54">
        <v>410</v>
      </c>
      <c r="F32" s="49">
        <f t="shared" si="0"/>
        <v>4920000</v>
      </c>
      <c r="G32" s="51">
        <v>1.4999999999999999E-2</v>
      </c>
      <c r="I32" s="7"/>
      <c r="J32" s="7"/>
      <c r="K32" s="8"/>
      <c r="L32" s="7"/>
      <c r="M32" s="7" t="s">
        <v>37</v>
      </c>
      <c r="N32" s="7">
        <v>284</v>
      </c>
      <c r="O32" s="7" t="s">
        <v>283</v>
      </c>
      <c r="P32" s="7"/>
      <c r="Q32" s="8"/>
      <c r="R32" s="6"/>
      <c r="S32" s="7"/>
      <c r="T32" s="12" t="s">
        <v>63</v>
      </c>
      <c r="U32" s="7">
        <v>700</v>
      </c>
      <c r="V32" s="7">
        <v>2151</v>
      </c>
      <c r="W32" s="7">
        <f>U32*V32</f>
        <v>1505700</v>
      </c>
      <c r="X32" s="32" t="s">
        <v>178</v>
      </c>
      <c r="Y32" s="7"/>
      <c r="Z32" s="8"/>
      <c r="AA32" s="6"/>
      <c r="AB32" s="7"/>
      <c r="AC32" s="7"/>
      <c r="AD32" s="7"/>
      <c r="AE32" s="7"/>
      <c r="AF32" s="7"/>
      <c r="AG32" s="11" t="s">
        <v>236</v>
      </c>
      <c r="AH32" s="15">
        <f>(SUM(AD25:AD26)+AD30)/AH26</f>
        <v>2.6364438735014755</v>
      </c>
      <c r="AI32" s="8"/>
    </row>
    <row r="33" spans="1:35" x14ac:dyDescent="0.2">
      <c r="A33" s="6"/>
      <c r="B33" s="61"/>
      <c r="C33" t="s">
        <v>278</v>
      </c>
      <c r="D33" s="49" t="s">
        <v>16</v>
      </c>
      <c r="E33" s="49" t="s">
        <v>16</v>
      </c>
      <c r="F33" s="49" t="s">
        <v>16</v>
      </c>
      <c r="G33" s="51">
        <v>3.5000000000000003E-2</v>
      </c>
      <c r="I33" s="7"/>
      <c r="J33" s="7"/>
      <c r="K33" s="8"/>
      <c r="L33" s="7"/>
      <c r="M33" s="7" t="s">
        <v>38</v>
      </c>
      <c r="N33" s="7">
        <v>4</v>
      </c>
      <c r="O33" s="7"/>
      <c r="P33" s="7"/>
      <c r="Q33" s="8"/>
      <c r="R33" s="6"/>
      <c r="S33" s="7"/>
      <c r="T33" s="12" t="s">
        <v>64</v>
      </c>
      <c r="U33" s="7"/>
      <c r="V33" s="7"/>
      <c r="W33" s="7">
        <v>373646.2</v>
      </c>
      <c r="X33" s="32" t="s">
        <v>178</v>
      </c>
      <c r="Y33" s="7"/>
      <c r="Z33" s="8"/>
      <c r="AA33" s="6"/>
      <c r="AB33" s="7"/>
      <c r="AC33" s="7"/>
      <c r="AD33" s="7"/>
      <c r="AE33" s="7"/>
      <c r="AF33" s="7"/>
      <c r="AG33" s="11" t="s">
        <v>237</v>
      </c>
      <c r="AH33" s="15">
        <f>(AD26+AD30)/AH26</f>
        <v>1.3774566113204005</v>
      </c>
      <c r="AI33" s="8"/>
    </row>
    <row r="34" spans="1:35" ht="16" customHeight="1" x14ac:dyDescent="0.2">
      <c r="A34" s="6"/>
      <c r="B34" s="63" t="s">
        <v>20</v>
      </c>
      <c r="C34" t="s">
        <v>10</v>
      </c>
      <c r="D34" s="51" t="s">
        <v>16</v>
      </c>
      <c r="E34" s="54">
        <v>2370</v>
      </c>
      <c r="F34" s="51" t="s">
        <v>16</v>
      </c>
      <c r="G34" s="51">
        <v>0.01</v>
      </c>
      <c r="H34" t="s">
        <v>19</v>
      </c>
      <c r="I34" s="7"/>
      <c r="J34" s="7"/>
      <c r="K34" s="8"/>
      <c r="L34" s="7"/>
      <c r="M34" s="12" t="s">
        <v>40</v>
      </c>
      <c r="N34" s="12">
        <f>3.39+2.16</f>
        <v>5.5500000000000007</v>
      </c>
      <c r="O34" s="7" t="s">
        <v>284</v>
      </c>
      <c r="P34" s="7"/>
      <c r="Q34" s="8"/>
      <c r="R34" s="6"/>
      <c r="S34" s="7"/>
      <c r="T34" s="12" t="s">
        <v>65</v>
      </c>
      <c r="U34" s="7">
        <f>N31*3</f>
        <v>3408</v>
      </c>
      <c r="V34" s="7">
        <v>1122</v>
      </c>
      <c r="W34" s="7">
        <f>U34*V34</f>
        <v>3823776</v>
      </c>
      <c r="X34" s="32" t="s">
        <v>178</v>
      </c>
      <c r="Y34" s="7"/>
      <c r="Z34" s="8"/>
      <c r="AA34" s="6"/>
      <c r="AB34" s="7"/>
      <c r="AC34" s="7"/>
      <c r="AD34" s="7"/>
      <c r="AE34" s="7"/>
      <c r="AF34" s="7"/>
      <c r="AG34" s="7"/>
      <c r="AH34" s="7"/>
      <c r="AI34" s="8"/>
    </row>
    <row r="35" spans="1:35" ht="16" customHeight="1" x14ac:dyDescent="0.2">
      <c r="A35" s="6"/>
      <c r="B35" s="63"/>
      <c r="C35" t="s">
        <v>11</v>
      </c>
      <c r="D35" s="51" t="s">
        <v>16</v>
      </c>
      <c r="E35" s="54">
        <v>1730</v>
      </c>
      <c r="F35" s="51" t="s">
        <v>16</v>
      </c>
      <c r="G35" s="51">
        <v>0.01</v>
      </c>
      <c r="H35" t="s">
        <v>19</v>
      </c>
      <c r="I35" s="7"/>
      <c r="J35" s="7"/>
      <c r="K35" s="8"/>
      <c r="L35" s="7"/>
      <c r="M35" s="7" t="s">
        <v>39</v>
      </c>
      <c r="N35" s="7">
        <f>N34/N31</f>
        <v>4.8855633802816906E-3</v>
      </c>
      <c r="O35" s="7"/>
      <c r="P35" s="7"/>
      <c r="Q35" s="8"/>
      <c r="R35" s="6"/>
      <c r="S35" s="7"/>
      <c r="T35" s="12" t="s">
        <v>121</v>
      </c>
      <c r="U35" s="7" t="s">
        <v>122</v>
      </c>
      <c r="V35" s="7">
        <v>890</v>
      </c>
      <c r="W35" s="7" t="s">
        <v>122</v>
      </c>
      <c r="X35" s="43" t="s">
        <v>113</v>
      </c>
      <c r="Y35" s="7"/>
      <c r="Z35" s="8"/>
      <c r="AA35" s="6"/>
      <c r="AB35" s="7"/>
      <c r="AC35" s="7"/>
      <c r="AD35" s="7"/>
      <c r="AE35" s="7"/>
      <c r="AF35" s="7"/>
      <c r="AG35" s="7"/>
      <c r="AH35" s="7"/>
      <c r="AI35" s="8"/>
    </row>
    <row r="36" spans="1:35" x14ac:dyDescent="0.2">
      <c r="A36" s="6"/>
      <c r="B36" s="63"/>
      <c r="C36" t="s">
        <v>12</v>
      </c>
      <c r="D36" s="51" t="s">
        <v>16</v>
      </c>
      <c r="E36" s="54">
        <v>1201</v>
      </c>
      <c r="F36" s="51" t="s">
        <v>16</v>
      </c>
      <c r="G36" s="51">
        <v>5.0000000000000001E-3</v>
      </c>
      <c r="I36" s="7"/>
      <c r="J36" s="7"/>
      <c r="K36" s="8"/>
      <c r="L36" s="7"/>
      <c r="M36" s="7"/>
      <c r="N36" s="7"/>
      <c r="O36" s="7"/>
      <c r="P36" s="7"/>
      <c r="Q36" s="8"/>
      <c r="R36" s="6"/>
      <c r="S36" s="7"/>
      <c r="T36" s="7"/>
      <c r="U36" s="7"/>
      <c r="V36" s="7"/>
      <c r="W36" s="7"/>
      <c r="X36" s="7"/>
      <c r="Y36" s="7"/>
      <c r="Z36" s="8"/>
      <c r="AA36" s="6"/>
      <c r="AB36" s="7"/>
      <c r="AC36" s="7"/>
      <c r="AD36" s="7"/>
      <c r="AE36" s="7"/>
      <c r="AF36" s="7"/>
      <c r="AG36" s="7"/>
      <c r="AH36" s="7"/>
      <c r="AI36" s="8"/>
    </row>
    <row r="37" spans="1:35" x14ac:dyDescent="0.2">
      <c r="A37" s="6"/>
      <c r="B37" s="63"/>
      <c r="C37" t="s">
        <v>13</v>
      </c>
      <c r="D37" s="51" t="s">
        <v>16</v>
      </c>
      <c r="E37" s="54">
        <v>1340</v>
      </c>
      <c r="F37" s="51" t="s">
        <v>16</v>
      </c>
      <c r="G37" s="51">
        <v>1E-3</v>
      </c>
      <c r="H37" t="s">
        <v>300</v>
      </c>
      <c r="I37" s="7"/>
      <c r="J37" s="7"/>
      <c r="K37" s="8"/>
      <c r="L37" s="7"/>
      <c r="M37" s="40" t="s">
        <v>239</v>
      </c>
      <c r="N37" s="12" t="s">
        <v>282</v>
      </c>
      <c r="O37" s="7"/>
      <c r="P37" s="7"/>
      <c r="Q37" s="8"/>
      <c r="R37" s="6"/>
      <c r="S37" s="7"/>
      <c r="T37" s="7"/>
      <c r="U37" s="7"/>
      <c r="V37" s="7"/>
      <c r="W37" s="7"/>
      <c r="X37" s="7"/>
      <c r="Y37" s="7"/>
      <c r="Z37" s="8"/>
      <c r="AB37" s="7"/>
      <c r="AC37" s="34"/>
      <c r="AD37" s="34"/>
      <c r="AF37" s="7"/>
      <c r="AG37" s="7"/>
      <c r="AH37" s="7"/>
      <c r="AI37" s="8"/>
    </row>
    <row r="38" spans="1:35" x14ac:dyDescent="0.2">
      <c r="A38" s="6"/>
      <c r="B38" s="63"/>
      <c r="C38" t="s">
        <v>268</v>
      </c>
      <c r="D38" s="51" t="s">
        <v>16</v>
      </c>
      <c r="E38" s="54">
        <v>1480</v>
      </c>
      <c r="F38" s="51" t="s">
        <v>16</v>
      </c>
      <c r="G38" s="51">
        <v>0</v>
      </c>
      <c r="I38" s="7"/>
      <c r="J38" s="7"/>
      <c r="K38" s="8"/>
      <c r="L38" s="7"/>
      <c r="M38" s="40" t="s">
        <v>240</v>
      </c>
      <c r="N38" s="12">
        <f>N31</f>
        <v>1136</v>
      </c>
      <c r="O38" s="7"/>
      <c r="P38" s="7"/>
      <c r="Q38" s="8"/>
      <c r="R38" s="6"/>
      <c r="S38" s="7"/>
      <c r="T38" s="7"/>
      <c r="U38" s="7"/>
      <c r="V38" s="7"/>
      <c r="W38" s="7"/>
      <c r="X38" s="7"/>
      <c r="Y38" s="7"/>
      <c r="Z38" s="8"/>
      <c r="AB38" s="7"/>
      <c r="AC38" s="34"/>
      <c r="AD38" s="34"/>
      <c r="AF38" s="7"/>
      <c r="AG38" s="7"/>
      <c r="AH38" s="7"/>
      <c r="AI38" s="8"/>
    </row>
    <row r="39" spans="1:35" ht="16" customHeight="1" x14ac:dyDescent="0.2">
      <c r="A39" s="6"/>
      <c r="B39" s="63"/>
      <c r="C39" t="s">
        <v>217</v>
      </c>
      <c r="D39" s="51" t="s">
        <v>16</v>
      </c>
      <c r="E39" s="54">
        <v>1600</v>
      </c>
      <c r="F39" s="51" t="s">
        <v>16</v>
      </c>
      <c r="G39" s="51">
        <v>1.4E-2</v>
      </c>
      <c r="I39" s="7"/>
      <c r="J39" s="7"/>
      <c r="K39" s="8"/>
      <c r="L39" s="23"/>
      <c r="M39" s="9"/>
      <c r="N39" s="9"/>
      <c r="O39" s="9"/>
      <c r="P39" s="9"/>
      <c r="Q39" s="10"/>
      <c r="R39" s="6"/>
      <c r="S39" s="7"/>
      <c r="T39" s="7"/>
      <c r="U39" s="7"/>
      <c r="V39" s="7"/>
      <c r="W39" s="7"/>
      <c r="X39" s="7"/>
      <c r="Y39" s="7"/>
      <c r="Z39" s="8"/>
      <c r="AA39" s="21" t="s">
        <v>186</v>
      </c>
      <c r="AB39" s="34">
        <v>480</v>
      </c>
      <c r="AC39" s="35" t="s">
        <v>225</v>
      </c>
      <c r="AD39" s="7"/>
      <c r="AE39" s="7"/>
      <c r="AF39" s="7"/>
      <c r="AG39" s="7"/>
      <c r="AH39" s="7"/>
      <c r="AI39" s="8"/>
    </row>
    <row r="40" spans="1:35" x14ac:dyDescent="0.2">
      <c r="A40" s="6"/>
      <c r="B40" s="63" t="s">
        <v>21</v>
      </c>
      <c r="C40" t="s">
        <v>14</v>
      </c>
      <c r="D40" s="51" t="s">
        <v>16</v>
      </c>
      <c r="E40" s="54">
        <v>2370</v>
      </c>
      <c r="F40" s="51" t="s">
        <v>16</v>
      </c>
      <c r="G40" s="51">
        <v>1.4999999999999999E-2</v>
      </c>
      <c r="I40" s="7"/>
      <c r="J40" s="7"/>
      <c r="K40" s="8"/>
      <c r="L40" s="7"/>
      <c r="M40" s="7"/>
      <c r="N40" s="7"/>
      <c r="O40" s="7"/>
      <c r="P40" s="7"/>
      <c r="Q40" s="8"/>
      <c r="R40" s="26"/>
      <c r="S40" s="4"/>
      <c r="T40" s="4"/>
      <c r="U40" s="4"/>
      <c r="V40" s="5"/>
      <c r="W40" s="4"/>
      <c r="X40" s="4"/>
      <c r="Y40" s="4"/>
      <c r="Z40" s="5"/>
      <c r="AA40" s="21" t="s">
        <v>223</v>
      </c>
      <c r="AB40" s="7">
        <v>241</v>
      </c>
      <c r="AC40" s="7" t="s">
        <v>224</v>
      </c>
      <c r="AD40" s="7"/>
      <c r="AE40" s="7"/>
      <c r="AF40" s="7"/>
      <c r="AG40" s="7"/>
      <c r="AH40" s="7"/>
      <c r="AI40" s="8"/>
    </row>
    <row r="41" spans="1:35" ht="19" x14ac:dyDescent="0.25">
      <c r="A41" s="6"/>
      <c r="B41" s="63"/>
      <c r="C41" t="s">
        <v>15</v>
      </c>
      <c r="D41" s="51" t="s">
        <v>16</v>
      </c>
      <c r="E41" s="54">
        <v>890</v>
      </c>
      <c r="F41" s="51" t="s">
        <v>16</v>
      </c>
      <c r="G41" s="51">
        <v>1.6E-2</v>
      </c>
      <c r="I41" s="7"/>
      <c r="J41" s="7"/>
      <c r="K41" s="8"/>
      <c r="L41" s="24" t="s">
        <v>180</v>
      </c>
      <c r="M41" s="7"/>
      <c r="N41" s="7"/>
      <c r="O41" s="7"/>
      <c r="P41" s="7"/>
      <c r="Q41" s="8"/>
      <c r="R41" s="37" t="s">
        <v>188</v>
      </c>
      <c r="S41" s="7"/>
      <c r="T41" s="7"/>
      <c r="U41" s="7"/>
      <c r="V41" s="8"/>
      <c r="Z41" s="8"/>
      <c r="AA41" s="6"/>
      <c r="AB41" s="7"/>
      <c r="AC41" s="7"/>
      <c r="AD41" s="7"/>
      <c r="AE41" s="7"/>
      <c r="AF41" s="7"/>
      <c r="AG41" s="7"/>
      <c r="AH41" s="7"/>
      <c r="AI41" s="8"/>
    </row>
    <row r="42" spans="1:35" x14ac:dyDescent="0.2">
      <c r="A42" s="6"/>
      <c r="B42" s="63"/>
      <c r="C42" t="s">
        <v>279</v>
      </c>
      <c r="D42" s="51" t="s">
        <v>16</v>
      </c>
      <c r="E42" s="54">
        <v>1201</v>
      </c>
      <c r="F42" s="51" t="s">
        <v>16</v>
      </c>
      <c r="G42" s="51">
        <v>3.2000000000000001E-2</v>
      </c>
      <c r="H42" t="s">
        <v>171</v>
      </c>
      <c r="I42" s="7"/>
      <c r="J42" s="7"/>
      <c r="K42" s="8"/>
      <c r="L42" s="7"/>
      <c r="M42" s="12" t="s">
        <v>86</v>
      </c>
      <c r="N42" s="12">
        <v>12.9</v>
      </c>
      <c r="O42" s="32" t="s">
        <v>181</v>
      </c>
      <c r="P42" s="7"/>
      <c r="Q42" s="8"/>
      <c r="R42" s="52"/>
      <c r="S42" s="52" t="s">
        <v>193</v>
      </c>
      <c r="T42" s="28" t="s">
        <v>194</v>
      </c>
      <c r="U42" s="7"/>
      <c r="V42" s="8"/>
      <c r="Z42" s="8"/>
      <c r="AA42" s="6"/>
      <c r="AB42" s="7"/>
      <c r="AC42" s="7"/>
      <c r="AD42" s="7"/>
      <c r="AE42" s="7"/>
      <c r="AF42" s="7"/>
      <c r="AG42" s="7"/>
      <c r="AH42" s="7"/>
      <c r="AI42" s="8"/>
    </row>
    <row r="43" spans="1:35" x14ac:dyDescent="0.2">
      <c r="A43" s="6"/>
      <c r="B43" s="63"/>
      <c r="C43" t="s">
        <v>280</v>
      </c>
      <c r="D43" s="51" t="s">
        <v>16</v>
      </c>
      <c r="E43" s="54">
        <v>830</v>
      </c>
      <c r="F43" s="51" t="s">
        <v>16</v>
      </c>
      <c r="G43" s="51">
        <v>0.06</v>
      </c>
      <c r="I43" s="7"/>
      <c r="J43" s="7"/>
      <c r="K43" s="8"/>
      <c r="L43" s="7"/>
      <c r="M43" s="12" t="s">
        <v>85</v>
      </c>
      <c r="N43" s="12">
        <v>1.29</v>
      </c>
      <c r="O43" s="7"/>
      <c r="P43" s="7"/>
      <c r="Q43" s="8"/>
      <c r="R43" s="38" t="s">
        <v>189</v>
      </c>
      <c r="S43" s="28" t="s">
        <v>190</v>
      </c>
      <c r="T43" s="28" t="s">
        <v>195</v>
      </c>
      <c r="U43" s="7"/>
      <c r="V43" s="8"/>
      <c r="Z43" s="8"/>
      <c r="AA43" s="6"/>
      <c r="AB43" s="7"/>
      <c r="AC43" s="7"/>
      <c r="AD43" s="7"/>
      <c r="AE43" s="7"/>
      <c r="AF43" s="7"/>
      <c r="AG43" s="7"/>
      <c r="AH43" s="7"/>
      <c r="AI43" s="8"/>
    </row>
    <row r="44" spans="1:35" x14ac:dyDescent="0.2">
      <c r="A44" s="6"/>
      <c r="F44" s="29" t="s">
        <v>208</v>
      </c>
      <c r="G44" s="42">
        <f>SUM(G25:G28)</f>
        <v>0.76200000000000001</v>
      </c>
      <c r="I44" s="7"/>
      <c r="J44" s="7"/>
      <c r="K44" s="8"/>
      <c r="L44" s="7"/>
      <c r="M44" s="12" t="s">
        <v>79</v>
      </c>
      <c r="N44" s="12">
        <v>20</v>
      </c>
      <c r="O44" s="7"/>
      <c r="P44" s="7"/>
      <c r="Q44" s="8"/>
      <c r="R44" s="38" t="s">
        <v>191</v>
      </c>
      <c r="S44" s="28" t="s">
        <v>192</v>
      </c>
      <c r="T44" s="28" t="s">
        <v>196</v>
      </c>
      <c r="U44" s="7"/>
      <c r="V44" s="8"/>
      <c r="Z44" s="8"/>
      <c r="AA44" s="6"/>
      <c r="AB44" s="7"/>
      <c r="AC44" s="7"/>
      <c r="AD44" s="7"/>
      <c r="AE44" s="7"/>
      <c r="AF44" s="7"/>
      <c r="AG44" s="7"/>
      <c r="AH44" s="7"/>
      <c r="AI44" s="8"/>
    </row>
    <row r="45" spans="1:35" x14ac:dyDescent="0.2">
      <c r="A45" s="23"/>
      <c r="B45" s="9"/>
      <c r="C45" s="9"/>
      <c r="D45" s="9"/>
      <c r="E45" s="9"/>
      <c r="F45" s="9"/>
      <c r="G45" s="9"/>
      <c r="H45" s="9"/>
      <c r="I45" s="9"/>
      <c r="J45" s="9"/>
      <c r="K45" s="10"/>
      <c r="L45" s="9"/>
      <c r="M45" s="9"/>
      <c r="N45" s="9"/>
      <c r="O45" s="9"/>
      <c r="P45" s="9"/>
      <c r="Q45" s="10"/>
      <c r="R45" s="23"/>
      <c r="S45" s="9"/>
      <c r="T45" s="9"/>
      <c r="U45" s="9"/>
      <c r="V45" s="10"/>
      <c r="W45" s="9"/>
      <c r="X45" s="9"/>
      <c r="Y45" s="9"/>
      <c r="Z45" s="10"/>
      <c r="AA45" s="23"/>
      <c r="AB45" s="9"/>
      <c r="AC45" s="9"/>
      <c r="AD45" s="9"/>
      <c r="AE45" s="9"/>
      <c r="AF45" s="9"/>
      <c r="AG45" s="9"/>
      <c r="AH45" s="9"/>
      <c r="AI45" s="10"/>
    </row>
    <row r="46" spans="1:35" x14ac:dyDescent="0.2">
      <c r="K46" s="5"/>
      <c r="Q46" s="5"/>
      <c r="V46" s="5"/>
      <c r="Z46" s="5"/>
      <c r="AA46" s="26"/>
      <c r="AB46" s="4"/>
      <c r="AC46" s="4"/>
      <c r="AD46" s="4"/>
      <c r="AE46" s="4"/>
      <c r="AF46" s="4"/>
      <c r="AG46" s="4"/>
      <c r="AH46" s="4"/>
      <c r="AI46" s="5"/>
    </row>
    <row r="47" spans="1:35" ht="19" x14ac:dyDescent="0.25">
      <c r="A47" s="1" t="s">
        <v>173</v>
      </c>
      <c r="K47" s="8"/>
      <c r="L47" s="1" t="s">
        <v>175</v>
      </c>
      <c r="Q47" s="8"/>
      <c r="R47" s="1" t="s">
        <v>182</v>
      </c>
      <c r="T47" s="29" t="s">
        <v>197</v>
      </c>
      <c r="U47" s="3">
        <f>SUM(T58,T70,T82)</f>
        <v>85.199999999999989</v>
      </c>
      <c r="V47" s="8"/>
      <c r="W47" s="1" t="s">
        <v>75</v>
      </c>
      <c r="Z47" s="8"/>
      <c r="AA47" s="44" t="s">
        <v>185</v>
      </c>
      <c r="AB47" s="7"/>
      <c r="AC47" s="7"/>
      <c r="AD47" s="7"/>
      <c r="AE47" s="7"/>
      <c r="AF47" s="7"/>
      <c r="AG47" s="7"/>
      <c r="AH47" s="7"/>
      <c r="AI47" s="8"/>
    </row>
    <row r="48" spans="1:35" x14ac:dyDescent="0.2">
      <c r="B48" s="3" t="s">
        <v>5</v>
      </c>
      <c r="D48" s="29" t="s">
        <v>174</v>
      </c>
      <c r="E48" s="3">
        <f>SUM(D54,G50)</f>
        <v>97.017834415944108</v>
      </c>
      <c r="K48" s="8"/>
      <c r="L48" s="29" t="s">
        <v>66</v>
      </c>
      <c r="Q48" s="8"/>
      <c r="R48" s="3" t="s">
        <v>78</v>
      </c>
      <c r="V48" s="8"/>
      <c r="X48" t="s">
        <v>219</v>
      </c>
      <c r="Y48">
        <f>(100000/19422.03)*100</f>
        <v>514.87923764920561</v>
      </c>
      <c r="Z48" s="8" t="s">
        <v>287</v>
      </c>
      <c r="AA48" s="6"/>
      <c r="AB48" s="7"/>
      <c r="AC48" s="7"/>
      <c r="AD48" s="7"/>
      <c r="AE48" s="7"/>
      <c r="AF48" s="7"/>
      <c r="AG48" s="7"/>
      <c r="AH48" s="7"/>
      <c r="AI48" s="8"/>
    </row>
    <row r="49" spans="1:35" x14ac:dyDescent="0.2">
      <c r="C49" t="s">
        <v>22</v>
      </c>
      <c r="D49">
        <f>N25*G25</f>
        <v>260931.20000000001</v>
      </c>
      <c r="F49" t="s">
        <v>206</v>
      </c>
      <c r="G49">
        <v>0.3</v>
      </c>
      <c r="K49" s="8"/>
      <c r="M49" t="s">
        <v>67</v>
      </c>
      <c r="N49">
        <f>N25*G34</f>
        <v>8154.1</v>
      </c>
      <c r="Q49" s="8"/>
      <c r="V49" s="8"/>
      <c r="X49" t="s">
        <v>76</v>
      </c>
      <c r="Y49">
        <f>Y48/100/100</f>
        <v>5.1487923764920562E-2</v>
      </c>
      <c r="Z49" s="8"/>
      <c r="AA49" s="6"/>
      <c r="AB49" s="12" t="s">
        <v>5</v>
      </c>
      <c r="AC49" s="7"/>
      <c r="AD49" s="7"/>
      <c r="AE49" s="7"/>
      <c r="AF49" s="7"/>
      <c r="AG49" s="7"/>
      <c r="AH49" s="7"/>
      <c r="AI49" s="8"/>
    </row>
    <row r="50" spans="1:35" x14ac:dyDescent="0.2">
      <c r="C50" t="s">
        <v>23</v>
      </c>
      <c r="D50">
        <v>0.02</v>
      </c>
      <c r="E50" s="16" t="s">
        <v>41</v>
      </c>
      <c r="F50" t="s">
        <v>207</v>
      </c>
      <c r="G50" s="18">
        <f>G49*D54</f>
        <v>22.388731019064025</v>
      </c>
      <c r="K50" s="8"/>
      <c r="M50" t="s">
        <v>48</v>
      </c>
      <c r="N50">
        <f>N49/E34</f>
        <v>3.4405485232067514</v>
      </c>
      <c r="Q50" s="8"/>
      <c r="S50" t="s">
        <v>204</v>
      </c>
      <c r="T50">
        <v>8</v>
      </c>
      <c r="U50" t="s">
        <v>286</v>
      </c>
      <c r="V50" s="8"/>
      <c r="X50" t="s">
        <v>77</v>
      </c>
      <c r="Y50">
        <f>1/Y49</f>
        <v>19.422029999999999</v>
      </c>
      <c r="Z50" s="8"/>
      <c r="AA50" s="6"/>
      <c r="AB50" s="7"/>
      <c r="AC50" s="7" t="s">
        <v>119</v>
      </c>
      <c r="AD50" s="13">
        <f>650*10000</f>
        <v>6500000</v>
      </c>
      <c r="AE50" s="7"/>
      <c r="AF50" s="7"/>
      <c r="AG50" s="7"/>
      <c r="AH50" s="7"/>
      <c r="AI50" s="8"/>
    </row>
    <row r="51" spans="1:35" x14ac:dyDescent="0.2">
      <c r="C51" t="s">
        <v>24</v>
      </c>
      <c r="D51">
        <v>0.3</v>
      </c>
      <c r="K51" s="8"/>
      <c r="M51" t="s">
        <v>68</v>
      </c>
      <c r="N51">
        <f>N50/X25/T24</f>
        <v>0.34439925157224738</v>
      </c>
      <c r="Q51" s="8"/>
      <c r="S51" t="s">
        <v>205</v>
      </c>
      <c r="T51">
        <f>T50*1000</f>
        <v>8000</v>
      </c>
      <c r="U51" t="s">
        <v>178</v>
      </c>
      <c r="V51" s="8"/>
      <c r="X51" t="s">
        <v>221</v>
      </c>
      <c r="Y51">
        <f>SUM(G40:G42)</f>
        <v>6.3E-2</v>
      </c>
      <c r="Z51" s="8"/>
      <c r="AA51" s="6"/>
      <c r="AB51" s="7"/>
      <c r="AC51" s="7" t="s">
        <v>111</v>
      </c>
      <c r="AD51">
        <v>0.79600000000000004</v>
      </c>
      <c r="AE51" s="7" t="s">
        <v>178</v>
      </c>
      <c r="AF51" s="7"/>
      <c r="AG51" s="7"/>
      <c r="AH51" s="7"/>
      <c r="AI51" s="8"/>
    </row>
    <row r="52" spans="1:35" x14ac:dyDescent="0.2">
      <c r="C52" t="s">
        <v>25</v>
      </c>
      <c r="D52" s="18">
        <f>F25*(1-(SUM(D50:D51)))</f>
        <v>3971879.9999999995</v>
      </c>
      <c r="K52" s="8"/>
      <c r="M52" t="s">
        <v>69</v>
      </c>
      <c r="N52">
        <f>(70*(N51*T24)^0.75)*365</f>
        <v>199570.77280099536</v>
      </c>
      <c r="Q52" s="8"/>
      <c r="S52" t="s">
        <v>203</v>
      </c>
      <c r="T52">
        <f>T51/N44</f>
        <v>400</v>
      </c>
      <c r="V52" s="8"/>
      <c r="X52" s="3" t="s">
        <v>220</v>
      </c>
      <c r="Y52" s="3">
        <f>Y51*Y50*N38</f>
        <v>1389.99584304</v>
      </c>
      <c r="Z52" s="8"/>
      <c r="AA52" s="6"/>
      <c r="AB52" s="7"/>
      <c r="AC52" s="7" t="s">
        <v>112</v>
      </c>
      <c r="AD52">
        <v>0.1</v>
      </c>
      <c r="AE52" s="7" t="s">
        <v>113</v>
      </c>
      <c r="AF52" s="7"/>
      <c r="AG52" s="7"/>
      <c r="AH52" s="7"/>
      <c r="AI52" s="8"/>
    </row>
    <row r="53" spans="1:35" x14ac:dyDescent="0.2">
      <c r="C53" t="s">
        <v>26</v>
      </c>
      <c r="D53" s="18">
        <f>D49/D52</f>
        <v>6.5694633271901476E-2</v>
      </c>
      <c r="K53" s="8"/>
      <c r="M53" t="s">
        <v>124</v>
      </c>
      <c r="N53">
        <v>0.9</v>
      </c>
      <c r="O53" s="60">
        <f>SUM(N53:N54)</f>
        <v>1</v>
      </c>
      <c r="Q53" s="8"/>
      <c r="S53" t="s">
        <v>202</v>
      </c>
      <c r="T53">
        <v>551</v>
      </c>
      <c r="V53" s="8"/>
      <c r="Z53" s="8"/>
      <c r="AA53" s="6"/>
      <c r="AB53" s="7"/>
      <c r="AC53" s="7" t="s">
        <v>198</v>
      </c>
      <c r="AD53">
        <f>(AD50)*AD51*(1-AD52)/0.45</f>
        <v>10348000</v>
      </c>
      <c r="AE53" s="7" t="s">
        <v>199</v>
      </c>
      <c r="AF53" s="7"/>
      <c r="AG53" s="7"/>
      <c r="AH53" s="7"/>
      <c r="AI53" s="8"/>
    </row>
    <row r="54" spans="1:35" x14ac:dyDescent="0.2">
      <c r="C54" t="s">
        <v>27</v>
      </c>
      <c r="D54" s="18">
        <f>D53*N38</f>
        <v>74.629103396880083</v>
      </c>
      <c r="K54" s="8"/>
      <c r="M54" t="s">
        <v>70</v>
      </c>
      <c r="N54">
        <v>0.1</v>
      </c>
      <c r="O54" s="60"/>
      <c r="Q54" s="8"/>
      <c r="S54" t="s">
        <v>80</v>
      </c>
      <c r="T54">
        <f>T53*N44/1000</f>
        <v>11.02</v>
      </c>
      <c r="V54" s="8"/>
      <c r="W54" s="23"/>
      <c r="X54" s="9"/>
      <c r="Y54" s="9"/>
      <c r="Z54" s="10"/>
      <c r="AA54" s="6"/>
      <c r="AB54" s="7"/>
      <c r="AC54" s="7" t="s">
        <v>114</v>
      </c>
      <c r="AD54">
        <v>0.23</v>
      </c>
      <c r="AE54" s="7"/>
      <c r="AF54" s="7"/>
      <c r="AG54" s="7"/>
      <c r="AH54" s="7"/>
      <c r="AI54" s="8"/>
    </row>
    <row r="55" spans="1:35" x14ac:dyDescent="0.2">
      <c r="A55" s="9"/>
      <c r="B55" s="9"/>
      <c r="C55" s="9"/>
      <c r="D55" s="9"/>
      <c r="E55" s="9"/>
      <c r="F55" s="9"/>
      <c r="G55" s="9"/>
      <c r="H55" s="9"/>
      <c r="I55" s="9"/>
      <c r="J55" s="9"/>
      <c r="K55" s="10"/>
      <c r="Q55" s="8"/>
      <c r="S55" t="s">
        <v>81</v>
      </c>
      <c r="T55">
        <f>AVERAGE(T52,T53)</f>
        <v>475.5</v>
      </c>
      <c r="V55" s="8"/>
      <c r="Z55" s="8"/>
      <c r="AA55" s="6"/>
      <c r="AB55" s="7"/>
      <c r="AC55" s="7" t="s">
        <v>200</v>
      </c>
      <c r="AD55" s="17">
        <f>AD53*(1-AD54)*(D53)</f>
        <v>523452.21012518008</v>
      </c>
      <c r="AE55" s="7"/>
      <c r="AF55" s="7"/>
      <c r="AG55" s="7"/>
      <c r="AH55" s="7"/>
      <c r="AI55" s="8"/>
    </row>
    <row r="56" spans="1:35" x14ac:dyDescent="0.2">
      <c r="K56" s="8"/>
      <c r="M56" t="s">
        <v>71</v>
      </c>
      <c r="N56">
        <f>(N54*N52)/W33</f>
        <v>5.341169609138146E-2</v>
      </c>
      <c r="Q56" s="8"/>
      <c r="S56" t="s">
        <v>82</v>
      </c>
      <c r="T56">
        <f>T55*N38</f>
        <v>540168</v>
      </c>
      <c r="V56" s="8"/>
      <c r="Z56" s="8"/>
      <c r="AA56" s="6"/>
      <c r="AB56" s="7"/>
      <c r="AC56" s="7" t="s">
        <v>201</v>
      </c>
      <c r="AD56">
        <f>AD55*N31</f>
        <v>594641710.70220459</v>
      </c>
      <c r="AE56" s="7"/>
      <c r="AF56" s="7"/>
      <c r="AG56" s="7"/>
      <c r="AH56" s="7"/>
      <c r="AI56" s="8"/>
    </row>
    <row r="57" spans="1:35" ht="19" x14ac:dyDescent="0.25">
      <c r="B57" s="3" t="s">
        <v>107</v>
      </c>
      <c r="D57" s="3" t="s">
        <v>43</v>
      </c>
      <c r="E57" s="53">
        <f>D64+(D72-G69)+(D80-G77)+G64+(D88+G83)</f>
        <v>120.10827171695908</v>
      </c>
      <c r="K57" s="8"/>
      <c r="M57" t="s">
        <v>72</v>
      </c>
      <c r="N57">
        <f>SUM(N55:N56)</f>
        <v>5.341169609138146E-2</v>
      </c>
      <c r="Q57" s="8"/>
      <c r="S57" t="s">
        <v>83</v>
      </c>
      <c r="T57">
        <f>T56/N43</f>
        <v>418734.8837209302</v>
      </c>
      <c r="V57" s="8"/>
      <c r="W57" s="27"/>
      <c r="Z57" s="8"/>
      <c r="AA57" s="6"/>
      <c r="AB57" s="7"/>
      <c r="AC57" s="7"/>
      <c r="AD57" s="7"/>
      <c r="AE57" s="7"/>
      <c r="AF57" s="7"/>
      <c r="AG57" s="7"/>
      <c r="AH57" s="7"/>
      <c r="AI57" s="8"/>
    </row>
    <row r="58" spans="1:35" x14ac:dyDescent="0.2">
      <c r="C58" s="3" t="s">
        <v>318</v>
      </c>
      <c r="K58" s="8"/>
      <c r="M58" s="3" t="s">
        <v>73</v>
      </c>
      <c r="N58" s="3">
        <f>N57*N31</f>
        <v>60.675686759809338</v>
      </c>
      <c r="Q58" s="8"/>
      <c r="S58" t="s">
        <v>84</v>
      </c>
      <c r="T58">
        <f>T57/10000</f>
        <v>41.873488372093021</v>
      </c>
      <c r="V58" s="8"/>
      <c r="X58" s="7"/>
      <c r="Y58" s="7"/>
      <c r="Z58" s="8"/>
      <c r="AA58" s="6"/>
      <c r="AB58" s="12" t="s">
        <v>116</v>
      </c>
      <c r="AC58" s="7"/>
      <c r="AD58" s="7"/>
      <c r="AE58" s="7"/>
      <c r="AF58" s="7"/>
      <c r="AG58" s="7"/>
      <c r="AH58" s="7"/>
      <c r="AI58" s="8"/>
    </row>
    <row r="59" spans="1:35" x14ac:dyDescent="0.2">
      <c r="C59" t="s">
        <v>22</v>
      </c>
      <c r="D59">
        <f>G28*N25</f>
        <v>171236.1</v>
      </c>
      <c r="F59" t="s">
        <v>210</v>
      </c>
      <c r="K59" s="8"/>
      <c r="M59" s="3" t="s">
        <v>74</v>
      </c>
      <c r="N59" s="3">
        <f>N51*N31</f>
        <v>391.23754978607303</v>
      </c>
      <c r="Q59" s="8"/>
      <c r="V59" s="8"/>
      <c r="X59" s="39"/>
      <c r="Y59" s="7"/>
      <c r="Z59" s="8"/>
      <c r="AA59" s="6"/>
      <c r="AB59" s="7"/>
      <c r="AC59" s="7" t="s">
        <v>110</v>
      </c>
      <c r="AD59" s="13">
        <f>650*10000</f>
        <v>6500000</v>
      </c>
      <c r="AE59" s="7"/>
      <c r="AF59" s="7"/>
      <c r="AH59" s="7"/>
      <c r="AI59" s="8"/>
    </row>
    <row r="60" spans="1:35" x14ac:dyDescent="0.2">
      <c r="C60" t="s">
        <v>23</v>
      </c>
      <c r="D60">
        <v>0.1</v>
      </c>
      <c r="F60" t="s">
        <v>42</v>
      </c>
      <c r="G60">
        <v>0.1</v>
      </c>
      <c r="K60" s="8"/>
      <c r="M60" s="3" t="s">
        <v>123</v>
      </c>
      <c r="N60" s="3">
        <f>N59*(N52/N51)</f>
        <v>226712397.90193072</v>
      </c>
      <c r="Q60" s="8"/>
      <c r="V60" s="8"/>
      <c r="W60" s="7"/>
      <c r="X60" s="7"/>
      <c r="Y60" s="7"/>
      <c r="Z60" s="8"/>
      <c r="AA60" s="6"/>
      <c r="AB60" s="7"/>
      <c r="AC60" s="7" t="s">
        <v>111</v>
      </c>
      <c r="AD60" s="7">
        <v>0.6</v>
      </c>
      <c r="AE60" t="s">
        <v>231</v>
      </c>
      <c r="AF60" s="7"/>
      <c r="AG60" s="7"/>
      <c r="AH60" s="7"/>
      <c r="AI60" s="8"/>
    </row>
    <row r="61" spans="1:35" x14ac:dyDescent="0.2">
      <c r="C61" t="s">
        <v>24</v>
      </c>
      <c r="D61">
        <v>0.3</v>
      </c>
      <c r="F61" t="s">
        <v>6</v>
      </c>
      <c r="G61">
        <v>0</v>
      </c>
      <c r="K61" s="8"/>
      <c r="Q61" s="8"/>
      <c r="R61" s="3" t="s">
        <v>94</v>
      </c>
      <c r="V61" s="8"/>
      <c r="X61" s="55"/>
      <c r="Y61" s="45"/>
      <c r="Z61" s="8"/>
      <c r="AA61" s="6"/>
      <c r="AB61" s="7"/>
      <c r="AC61" s="7" t="s">
        <v>112</v>
      </c>
      <c r="AD61" s="7">
        <v>0.1</v>
      </c>
      <c r="AF61" s="7"/>
      <c r="AG61" s="7"/>
      <c r="AH61" s="7"/>
      <c r="AI61" s="8"/>
    </row>
    <row r="62" spans="1:35" x14ac:dyDescent="0.2">
      <c r="C62" t="s">
        <v>25</v>
      </c>
      <c r="D62" s="18">
        <f>F28*(1-(D60+D61))</f>
        <v>2850000</v>
      </c>
      <c r="F62" t="s">
        <v>247</v>
      </c>
      <c r="G62">
        <v>0</v>
      </c>
      <c r="K62" s="8"/>
      <c r="Q62" s="8"/>
      <c r="S62" t="s">
        <v>95</v>
      </c>
      <c r="T62">
        <v>30</v>
      </c>
      <c r="U62" s="16" t="s">
        <v>178</v>
      </c>
      <c r="V62" s="8"/>
      <c r="X62" s="40"/>
      <c r="Y62" s="3"/>
      <c r="Z62" s="8"/>
      <c r="AA62" s="6"/>
      <c r="AB62" s="7"/>
      <c r="AC62" s="7" t="s">
        <v>118</v>
      </c>
      <c r="AD62">
        <f>(AD59)*AD60*(1-AD61)/0.45</f>
        <v>7800000</v>
      </c>
      <c r="AF62" s="7"/>
      <c r="AG62" s="7"/>
      <c r="AH62" s="7"/>
      <c r="AI62" s="8"/>
    </row>
    <row r="63" spans="1:35" x14ac:dyDescent="0.2">
      <c r="C63" t="s">
        <v>26</v>
      </c>
      <c r="D63" s="18">
        <f>D59/D62</f>
        <v>6.0082842105263157E-2</v>
      </c>
      <c r="F63" t="s">
        <v>281</v>
      </c>
      <c r="G63">
        <v>0.1</v>
      </c>
      <c r="K63" s="8"/>
      <c r="Q63" s="8"/>
      <c r="S63" t="s">
        <v>96</v>
      </c>
      <c r="T63">
        <v>1.5</v>
      </c>
      <c r="U63" s="45" t="s">
        <v>250</v>
      </c>
      <c r="V63" s="8"/>
      <c r="X63" s="11"/>
      <c r="Z63" s="8"/>
      <c r="AA63" s="6"/>
      <c r="AB63" s="7"/>
      <c r="AC63" s="7" t="s">
        <v>114</v>
      </c>
      <c r="AD63" s="7">
        <v>0.5</v>
      </c>
      <c r="AE63" t="s">
        <v>232</v>
      </c>
      <c r="AF63" s="7"/>
      <c r="AG63" s="7"/>
      <c r="AH63" s="7"/>
      <c r="AI63" s="8"/>
    </row>
    <row r="64" spans="1:35" x14ac:dyDescent="0.2">
      <c r="C64" t="s">
        <v>27</v>
      </c>
      <c r="D64" s="18">
        <f>D63*N38</f>
        <v>68.254108631578944</v>
      </c>
      <c r="F64" t="s">
        <v>207</v>
      </c>
      <c r="G64" s="18">
        <f>G60*D64</f>
        <v>6.8254108631578951</v>
      </c>
      <c r="K64" s="8"/>
      <c r="L64" s="29" t="s">
        <v>176</v>
      </c>
      <c r="Q64" s="8"/>
      <c r="S64" t="s">
        <v>97</v>
      </c>
      <c r="T64">
        <f>T63*T62</f>
        <v>45</v>
      </c>
      <c r="U64" s="16"/>
      <c r="V64" s="8"/>
      <c r="Z64" s="8"/>
      <c r="AA64" s="6"/>
      <c r="AB64" s="7"/>
      <c r="AC64" s="7" t="s">
        <v>115</v>
      </c>
      <c r="AD64" s="17">
        <f>AD62*(1-AD63)*D63</f>
        <v>234323.08421052631</v>
      </c>
      <c r="AE64" s="7"/>
      <c r="AF64" s="7"/>
      <c r="AG64" s="7"/>
      <c r="AH64" s="7"/>
      <c r="AI64" s="8"/>
    </row>
    <row r="65" spans="3:35" x14ac:dyDescent="0.2">
      <c r="K65" s="8"/>
      <c r="L65" s="30"/>
      <c r="M65" t="s">
        <v>51</v>
      </c>
      <c r="N65">
        <f>N25*G37</f>
        <v>815.41</v>
      </c>
      <c r="O65" t="s">
        <v>301</v>
      </c>
      <c r="Q65" s="8"/>
      <c r="S65" t="s">
        <v>98</v>
      </c>
      <c r="T65">
        <v>2</v>
      </c>
      <c r="U65" s="16" t="s">
        <v>178</v>
      </c>
      <c r="V65" s="8"/>
      <c r="Z65" s="8"/>
      <c r="AA65" s="6"/>
      <c r="AB65" s="7"/>
      <c r="AC65" s="7" t="s">
        <v>117</v>
      </c>
      <c r="AD65" s="7">
        <f>AD64*N31</f>
        <v>266191023.66315788</v>
      </c>
      <c r="AE65" s="7"/>
      <c r="AF65" s="7"/>
      <c r="AG65" s="7"/>
      <c r="AH65" s="7"/>
      <c r="AI65" s="8"/>
    </row>
    <row r="66" spans="3:35" x14ac:dyDescent="0.2">
      <c r="C66" s="3" t="s">
        <v>312</v>
      </c>
      <c r="K66" s="8"/>
      <c r="M66" t="s">
        <v>48</v>
      </c>
      <c r="N66">
        <f>N65/E37</f>
        <v>0.60851492537313434</v>
      </c>
      <c r="Q66" s="8"/>
      <c r="S66" t="s">
        <v>89</v>
      </c>
      <c r="T66">
        <v>4</v>
      </c>
      <c r="V66" s="8"/>
      <c r="Z66" s="8"/>
      <c r="AA66" s="6"/>
      <c r="AB66" s="7"/>
      <c r="AC66" s="7"/>
      <c r="AD66" s="7"/>
      <c r="AE66" s="7"/>
      <c r="AF66" s="7"/>
      <c r="AG66" s="7"/>
      <c r="AH66" s="7"/>
      <c r="AI66" s="8"/>
    </row>
    <row r="67" spans="3:35" x14ac:dyDescent="0.2">
      <c r="C67" t="s">
        <v>22</v>
      </c>
      <c r="D67">
        <f>G27*N25</f>
        <v>17939.02</v>
      </c>
      <c r="F67" s="59" t="s">
        <v>245</v>
      </c>
      <c r="G67" s="62">
        <v>1</v>
      </c>
      <c r="K67" s="8"/>
      <c r="M67" t="s">
        <v>54</v>
      </c>
      <c r="N67">
        <f>N66/X24/T25</f>
        <v>1.8962995031821347E-2</v>
      </c>
      <c r="Q67" s="8"/>
      <c r="S67" t="s">
        <v>99</v>
      </c>
      <c r="T67">
        <f>T66*T65*T64</f>
        <v>360</v>
      </c>
      <c r="V67" s="8"/>
      <c r="Z67" s="8"/>
      <c r="AA67" s="6"/>
      <c r="AB67" s="12" t="s">
        <v>120</v>
      </c>
      <c r="AC67" s="7"/>
      <c r="AD67" s="7"/>
      <c r="AE67" s="7"/>
      <c r="AF67" s="7"/>
      <c r="AG67" s="7"/>
      <c r="AH67" s="7"/>
      <c r="AI67" s="8"/>
    </row>
    <row r="68" spans="3:35" x14ac:dyDescent="0.2">
      <c r="C68" t="s">
        <v>23</v>
      </c>
      <c r="D68">
        <v>0.1</v>
      </c>
      <c r="F68" s="59"/>
      <c r="G68" s="62"/>
      <c r="K68" s="8"/>
      <c r="M68" t="s">
        <v>55</v>
      </c>
      <c r="N68">
        <f>(70*(N67*T25)^0.75)*365</f>
        <v>124576.45546570697</v>
      </c>
      <c r="Q68" s="8"/>
      <c r="S68" t="s">
        <v>100</v>
      </c>
      <c r="T68">
        <f>T67*N44/1000</f>
        <v>7.2</v>
      </c>
      <c r="V68" s="8"/>
      <c r="Z68" s="8"/>
      <c r="AA68" s="6"/>
      <c r="AB68" s="7"/>
      <c r="AC68" s="7" t="s">
        <v>110</v>
      </c>
      <c r="AD68" s="13">
        <f>650*10000</f>
        <v>6500000</v>
      </c>
      <c r="AE68" s="7"/>
      <c r="AF68" s="7"/>
      <c r="AG68" s="7" t="s">
        <v>222</v>
      </c>
      <c r="AH68" s="7"/>
      <c r="AI68" s="8"/>
    </row>
    <row r="69" spans="3:35" x14ac:dyDescent="0.2">
      <c r="C69" t="s">
        <v>24</v>
      </c>
      <c r="D69">
        <v>0.3</v>
      </c>
      <c r="F69" s="3" t="s">
        <v>246</v>
      </c>
      <c r="G69" s="3">
        <f>G67*D72</f>
        <v>15.299344384384385</v>
      </c>
      <c r="K69" s="8"/>
      <c r="M69" t="s">
        <v>258</v>
      </c>
      <c r="N69">
        <v>0</v>
      </c>
      <c r="O69" s="60">
        <f>SUM(N69:N71)</f>
        <v>0</v>
      </c>
      <c r="P69" t="s">
        <v>241</v>
      </c>
      <c r="Q69" s="8"/>
      <c r="S69" t="s">
        <v>101</v>
      </c>
      <c r="T69">
        <f>T67*N38</f>
        <v>408960</v>
      </c>
      <c r="V69" s="8"/>
      <c r="Z69" s="8"/>
      <c r="AA69" s="6"/>
      <c r="AB69" s="7"/>
      <c r="AC69" s="7" t="s">
        <v>111</v>
      </c>
      <c r="AD69" s="7">
        <v>0.59</v>
      </c>
      <c r="AE69" s="7" t="s">
        <v>226</v>
      </c>
      <c r="AF69" s="7"/>
      <c r="AG69" s="7"/>
      <c r="AH69" s="7"/>
      <c r="AI69" s="8"/>
    </row>
    <row r="70" spans="3:35" x14ac:dyDescent="0.2">
      <c r="C70" t="s">
        <v>25</v>
      </c>
      <c r="D70" s="18">
        <f>F27*(1-SUM(D68:D69))</f>
        <v>1332000</v>
      </c>
      <c r="K70" s="8"/>
      <c r="M70" t="s">
        <v>259</v>
      </c>
      <c r="N70">
        <v>0</v>
      </c>
      <c r="O70" s="60"/>
      <c r="Q70" s="8"/>
      <c r="S70" t="s">
        <v>102</v>
      </c>
      <c r="T70">
        <v>0</v>
      </c>
      <c r="U70" t="s">
        <v>209</v>
      </c>
      <c r="V70" s="8"/>
      <c r="Z70" s="8"/>
      <c r="AA70" s="6"/>
      <c r="AB70" s="7"/>
      <c r="AC70" s="7" t="s">
        <v>112</v>
      </c>
      <c r="AD70" s="7">
        <v>0.1</v>
      </c>
      <c r="AE70" s="7"/>
      <c r="AF70" s="7"/>
      <c r="AG70" s="7"/>
      <c r="AH70" s="7"/>
      <c r="AI70" s="8"/>
    </row>
    <row r="71" spans="3:35" x14ac:dyDescent="0.2">
      <c r="C71" t="s">
        <v>26</v>
      </c>
      <c r="D71" s="18">
        <f>D67/D70</f>
        <v>1.3467732732732733E-2</v>
      </c>
      <c r="K71" s="8"/>
      <c r="M71" t="s">
        <v>260</v>
      </c>
      <c r="N71">
        <v>0</v>
      </c>
      <c r="O71" s="60"/>
      <c r="Q71" s="8"/>
      <c r="V71" s="8"/>
      <c r="Z71" s="8"/>
      <c r="AA71" s="6"/>
      <c r="AB71" s="7"/>
      <c r="AC71" s="7" t="s">
        <v>118</v>
      </c>
      <c r="AD71">
        <f>(AD68)*AD69*(1-AD70)/0.45</f>
        <v>7670000</v>
      </c>
      <c r="AE71" s="7"/>
      <c r="AF71" s="7"/>
      <c r="AG71" s="7"/>
      <c r="AH71" s="7"/>
      <c r="AI71" s="8"/>
    </row>
    <row r="72" spans="3:35" x14ac:dyDescent="0.2">
      <c r="C72" t="s">
        <v>27</v>
      </c>
      <c r="D72" s="18">
        <f>D71*N38</f>
        <v>15.299344384384385</v>
      </c>
      <c r="K72" s="8"/>
      <c r="M72" t="s">
        <v>49</v>
      </c>
      <c r="N72">
        <f>N69*N68/W31</f>
        <v>0</v>
      </c>
      <c r="Q72" s="8"/>
      <c r="S72" s="16" t="s">
        <v>183</v>
      </c>
      <c r="V72" s="8"/>
      <c r="Z72" s="8"/>
      <c r="AA72" s="6"/>
      <c r="AB72" s="7"/>
      <c r="AC72" s="7" t="s">
        <v>114</v>
      </c>
      <c r="AD72" s="7">
        <v>0.52</v>
      </c>
      <c r="AE72" s="7" t="s">
        <v>227</v>
      </c>
      <c r="AF72" s="7"/>
      <c r="AG72" s="7"/>
      <c r="AH72" s="7"/>
      <c r="AI72" s="8"/>
    </row>
    <row r="73" spans="3:35" x14ac:dyDescent="0.2">
      <c r="K73" s="8"/>
      <c r="M73" t="s">
        <v>50</v>
      </c>
      <c r="N73">
        <f>N70*N68/W32</f>
        <v>0</v>
      </c>
      <c r="Q73" s="8"/>
      <c r="V73" s="8"/>
      <c r="Z73" s="8"/>
      <c r="AA73" s="6"/>
      <c r="AB73" s="7"/>
      <c r="AC73" s="7" t="s">
        <v>115</v>
      </c>
      <c r="AD73" s="17">
        <f>AD71*(1-AD72)*D71</f>
        <v>49582.804828828834</v>
      </c>
      <c r="AE73" s="7"/>
      <c r="AF73" s="7"/>
      <c r="AG73" s="7"/>
      <c r="AH73" s="7"/>
      <c r="AI73" s="8"/>
    </row>
    <row r="74" spans="3:35" x14ac:dyDescent="0.2">
      <c r="C74" s="3" t="s">
        <v>9</v>
      </c>
      <c r="F74" s="59" t="s">
        <v>248</v>
      </c>
      <c r="G74" s="60">
        <v>1</v>
      </c>
      <c r="K74" s="8"/>
      <c r="M74" t="s">
        <v>254</v>
      </c>
      <c r="N74">
        <f>SUM(N72:N73)</f>
        <v>0</v>
      </c>
      <c r="Q74" s="8"/>
      <c r="V74" s="8"/>
      <c r="Z74" s="8"/>
      <c r="AA74" s="6"/>
      <c r="AB74" s="7"/>
      <c r="AC74" s="7" t="s">
        <v>117</v>
      </c>
      <c r="AD74" s="7">
        <f>$N$31*AD73</f>
        <v>56326066.285549559</v>
      </c>
      <c r="AE74" s="7"/>
      <c r="AF74" s="7"/>
      <c r="AG74" s="7"/>
      <c r="AH74" s="7"/>
      <c r="AI74" s="8"/>
    </row>
    <row r="75" spans="3:35" x14ac:dyDescent="0.2">
      <c r="C75" t="s">
        <v>22</v>
      </c>
      <c r="D75">
        <f>G32*N25</f>
        <v>12231.15</v>
      </c>
      <c r="F75" s="59"/>
      <c r="G75" s="60"/>
      <c r="K75" s="8"/>
      <c r="M75" s="3" t="s">
        <v>255</v>
      </c>
      <c r="N75" s="3">
        <f>N74*N31</f>
        <v>0</v>
      </c>
      <c r="Q75" s="8"/>
      <c r="R75" s="3" t="s">
        <v>184</v>
      </c>
      <c r="V75" s="8"/>
      <c r="Z75" s="8"/>
      <c r="AA75" s="6"/>
      <c r="AB75" s="7"/>
      <c r="AC75" s="7"/>
      <c r="AD75" s="7"/>
      <c r="AE75" s="7"/>
      <c r="AF75" s="7"/>
      <c r="AG75" s="7"/>
      <c r="AH75" s="7"/>
      <c r="AI75" s="8"/>
    </row>
    <row r="76" spans="3:35" x14ac:dyDescent="0.2">
      <c r="C76" t="s">
        <v>23</v>
      </c>
      <c r="D76">
        <v>0</v>
      </c>
      <c r="F76" s="59"/>
      <c r="G76" s="60"/>
      <c r="K76" s="8"/>
      <c r="M76" s="3" t="s">
        <v>256</v>
      </c>
      <c r="N76" s="3">
        <f>N67*N31</f>
        <v>21.54196235614905</v>
      </c>
      <c r="Q76" s="8"/>
      <c r="S76" t="s">
        <v>87</v>
      </c>
      <c r="T76">
        <v>1.5</v>
      </c>
      <c r="U76" s="16" t="s">
        <v>178</v>
      </c>
      <c r="V76" s="8"/>
      <c r="Z76" s="8"/>
      <c r="AA76" s="6"/>
      <c r="AB76" s="12" t="s">
        <v>134</v>
      </c>
      <c r="AC76" s="7"/>
      <c r="AD76" s="7"/>
      <c r="AE76" s="7"/>
      <c r="AF76" s="7"/>
      <c r="AG76" s="7"/>
      <c r="AH76" s="7"/>
      <c r="AI76" s="8"/>
    </row>
    <row r="77" spans="3:35" x14ac:dyDescent="0.2">
      <c r="C77" t="s">
        <v>24</v>
      </c>
      <c r="D77">
        <v>0.3</v>
      </c>
      <c r="F77" t="s">
        <v>249</v>
      </c>
      <c r="G77">
        <f>G74*D80</f>
        <v>4.0344327526132409</v>
      </c>
      <c r="K77" s="8"/>
      <c r="Q77" s="8"/>
      <c r="S77" t="s">
        <v>88</v>
      </c>
      <c r="T77">
        <v>82</v>
      </c>
      <c r="U77" s="16" t="s">
        <v>103</v>
      </c>
      <c r="V77" s="8"/>
      <c r="Z77" s="8"/>
      <c r="AA77" s="6"/>
      <c r="AB77" s="7"/>
      <c r="AC77" s="7" t="s">
        <v>125</v>
      </c>
      <c r="AD77">
        <f>((((40+96)/2)/1.28)/1.331)*0.67</f>
        <v>26.742111194590535</v>
      </c>
      <c r="AE77" s="7"/>
      <c r="AF77" s="7" t="s">
        <v>228</v>
      </c>
      <c r="AG77" s="7"/>
      <c r="AH77" s="7"/>
      <c r="AI77" s="8"/>
    </row>
    <row r="78" spans="3:35" x14ac:dyDescent="0.2">
      <c r="C78" t="s">
        <v>25</v>
      </c>
      <c r="D78" s="18">
        <f>F32*(1-SUM(D76:D77))</f>
        <v>3444000</v>
      </c>
      <c r="K78" s="8"/>
      <c r="M78" s="3" t="s">
        <v>243</v>
      </c>
      <c r="Q78" s="8"/>
      <c r="S78" t="s">
        <v>89</v>
      </c>
      <c r="T78">
        <v>4</v>
      </c>
      <c r="U78" s="16"/>
      <c r="V78" s="8"/>
      <c r="Z78" s="8"/>
      <c r="AA78" s="6"/>
      <c r="AB78" s="7"/>
      <c r="AC78" s="7" t="s">
        <v>126</v>
      </c>
      <c r="AD78">
        <f>((40+96)/2)</f>
        <v>68</v>
      </c>
      <c r="AE78" s="7"/>
      <c r="AF78" s="7" t="s">
        <v>229</v>
      </c>
      <c r="AG78" s="7"/>
      <c r="AH78" s="7"/>
      <c r="AI78" s="8"/>
    </row>
    <row r="79" spans="3:35" x14ac:dyDescent="0.2">
      <c r="C79" t="s">
        <v>26</v>
      </c>
      <c r="D79" s="18">
        <f>D75/D78</f>
        <v>3.5514372822299653E-3</v>
      </c>
      <c r="K79" s="8"/>
      <c r="Q79" s="8"/>
      <c r="S79" t="s">
        <v>90</v>
      </c>
      <c r="T79">
        <f>T76*T77*T78</f>
        <v>492</v>
      </c>
      <c r="U79" s="16"/>
      <c r="V79" s="8"/>
      <c r="Z79" s="8"/>
      <c r="AA79" s="6"/>
      <c r="AB79" s="7"/>
      <c r="AC79" s="7" t="s">
        <v>127</v>
      </c>
      <c r="AD79">
        <f>AD78-AD77</f>
        <v>41.257888805409465</v>
      </c>
      <c r="AE79" s="7"/>
      <c r="AF79" s="7" t="s">
        <v>230</v>
      </c>
      <c r="AG79" s="7"/>
      <c r="AH79" s="7"/>
      <c r="AI79" s="8"/>
    </row>
    <row r="80" spans="3:35" x14ac:dyDescent="0.2">
      <c r="C80" t="s">
        <v>27</v>
      </c>
      <c r="D80" s="18">
        <f>D79*N38</f>
        <v>4.0344327526132409</v>
      </c>
      <c r="K80" s="8"/>
      <c r="L80" s="29" t="s">
        <v>257</v>
      </c>
      <c r="Q80" s="8"/>
      <c r="S80" t="s">
        <v>91</v>
      </c>
      <c r="T80">
        <f>T79*N44/1000</f>
        <v>9.84</v>
      </c>
      <c r="U80" s="16"/>
      <c r="V80" s="8"/>
      <c r="Z80" s="8"/>
      <c r="AA80" s="6"/>
      <c r="AB80" s="7"/>
      <c r="AC80" s="7" t="s">
        <v>128</v>
      </c>
      <c r="AD80">
        <f>(AD77)*E41</f>
        <v>23800.478963185575</v>
      </c>
      <c r="AE80" s="7"/>
      <c r="AF80" s="7"/>
      <c r="AG80" s="7"/>
      <c r="AH80" s="7"/>
      <c r="AI80" s="8"/>
    </row>
    <row r="81" spans="1:35" x14ac:dyDescent="0.2">
      <c r="A81" s="7"/>
      <c r="B81" s="7"/>
      <c r="C81" s="7"/>
      <c r="D81" s="7"/>
      <c r="K81" s="8"/>
      <c r="M81" t="s">
        <v>261</v>
      </c>
      <c r="N81">
        <f>N25*G38</f>
        <v>0</v>
      </c>
      <c r="Q81" s="8"/>
      <c r="S81" t="s">
        <v>92</v>
      </c>
      <c r="T81">
        <f>T79*N38</f>
        <v>558912</v>
      </c>
      <c r="U81" s="16"/>
      <c r="V81" s="8"/>
      <c r="Z81" s="8"/>
      <c r="AA81" s="6"/>
      <c r="AB81" s="7"/>
      <c r="AC81" s="7" t="s">
        <v>129</v>
      </c>
      <c r="AD81">
        <f>AD79*E41</f>
        <v>36719.521036814425</v>
      </c>
      <c r="AE81" s="7"/>
      <c r="AF81" s="7"/>
      <c r="AG81" s="7"/>
      <c r="AH81" s="7"/>
      <c r="AI81" s="8"/>
    </row>
    <row r="82" spans="1:35" x14ac:dyDescent="0.2">
      <c r="C82" s="3" t="s">
        <v>313</v>
      </c>
      <c r="K82" s="8"/>
      <c r="M82" t="s">
        <v>48</v>
      </c>
      <c r="N82">
        <f>N81/E38</f>
        <v>0</v>
      </c>
      <c r="Q82" s="8"/>
      <c r="S82" t="s">
        <v>93</v>
      </c>
      <c r="T82">
        <f>T81/N43/10000</f>
        <v>43.326511627906974</v>
      </c>
      <c r="U82" s="16"/>
      <c r="V82" s="8"/>
      <c r="Z82" s="8"/>
      <c r="AA82" s="6"/>
      <c r="AB82" s="7"/>
      <c r="AC82" s="7" t="s">
        <v>130</v>
      </c>
      <c r="AD82">
        <f>N25*G41</f>
        <v>13046.56</v>
      </c>
      <c r="AE82" s="7"/>
      <c r="AF82" s="7"/>
      <c r="AG82" s="7"/>
      <c r="AH82" s="7"/>
      <c r="AI82" s="8"/>
    </row>
    <row r="83" spans="1:35" x14ac:dyDescent="0.2">
      <c r="C83" t="s">
        <v>22</v>
      </c>
      <c r="D83">
        <f>G26*N25</f>
        <v>171236.1</v>
      </c>
      <c r="F83" t="s">
        <v>207</v>
      </c>
      <c r="G83" s="18">
        <f>G63*D88</f>
        <v>4.0935229292929298</v>
      </c>
      <c r="K83" s="8"/>
      <c r="M83" t="s">
        <v>262</v>
      </c>
      <c r="N83">
        <f>N82/X26/T26</f>
        <v>0</v>
      </c>
      <c r="Q83" s="8"/>
      <c r="V83" s="8"/>
      <c r="Z83" s="8"/>
      <c r="AA83" s="6"/>
      <c r="AB83" s="7"/>
      <c r="AC83" s="7" t="s">
        <v>131</v>
      </c>
      <c r="AD83">
        <f>AD82/AD80</f>
        <v>0.54816375839243958</v>
      </c>
      <c r="AE83" s="7"/>
      <c r="AF83" s="7"/>
      <c r="AG83" s="7"/>
      <c r="AH83" s="7"/>
      <c r="AI83" s="8"/>
    </row>
    <row r="84" spans="1:35" x14ac:dyDescent="0.2">
      <c r="C84" t="s">
        <v>23</v>
      </c>
      <c r="D84">
        <v>0.1</v>
      </c>
      <c r="K84" s="8"/>
      <c r="M84" t="s">
        <v>263</v>
      </c>
      <c r="N84">
        <f>(70*(N83*T26)^0.75)*365</f>
        <v>0</v>
      </c>
      <c r="Q84" s="8"/>
      <c r="S84" s="16" t="s">
        <v>183</v>
      </c>
      <c r="V84" s="8"/>
      <c r="Z84" s="8"/>
      <c r="AA84" s="6"/>
      <c r="AB84" s="7"/>
      <c r="AC84" s="7" t="s">
        <v>132</v>
      </c>
      <c r="AD84">
        <f>AD83*N31</f>
        <v>622.71402953381141</v>
      </c>
      <c r="AE84" s="7"/>
      <c r="AF84" s="7"/>
      <c r="AG84" s="7"/>
      <c r="AH84" s="7"/>
      <c r="AI84" s="8"/>
    </row>
    <row r="85" spans="1:35" x14ac:dyDescent="0.2">
      <c r="C85" t="s">
        <v>24</v>
      </c>
      <c r="D85">
        <v>0.3</v>
      </c>
      <c r="K85" s="8"/>
      <c r="M85" t="s">
        <v>264</v>
      </c>
      <c r="N85">
        <v>0.65</v>
      </c>
      <c r="O85" s="60">
        <f>SUM(N85:N87)</f>
        <v>1</v>
      </c>
      <c r="Q85" s="8"/>
      <c r="V85" s="8"/>
      <c r="Z85" s="8"/>
      <c r="AA85" s="6"/>
      <c r="AB85" s="7"/>
      <c r="AC85" s="7" t="s">
        <v>133</v>
      </c>
      <c r="AD85">
        <f>AD84*AD79</f>
        <v>25691.866188074458</v>
      </c>
      <c r="AE85" s="7"/>
      <c r="AF85" s="7"/>
      <c r="AG85" s="7"/>
      <c r="AH85" s="7"/>
      <c r="AI85" s="8"/>
    </row>
    <row r="86" spans="1:35" x14ac:dyDescent="0.2">
      <c r="C86" t="s">
        <v>25</v>
      </c>
      <c r="D86" s="18">
        <f>F26*(1-(D84+D85))</f>
        <v>4752000</v>
      </c>
      <c r="K86" s="8"/>
      <c r="M86" t="s">
        <v>265</v>
      </c>
      <c r="N86">
        <v>0.1</v>
      </c>
      <c r="O86" s="60"/>
      <c r="Q86" s="8"/>
      <c r="V86" s="8"/>
      <c r="Z86" s="8"/>
      <c r="AA86" s="6"/>
      <c r="AB86" s="7"/>
      <c r="AC86" s="11" t="s">
        <v>187</v>
      </c>
      <c r="AD86" s="7">
        <f>AD84*AD81</f>
        <v>22865760.907386266</v>
      </c>
      <c r="AE86" s="7"/>
      <c r="AF86" s="7"/>
      <c r="AG86" s="7"/>
      <c r="AH86" s="7"/>
      <c r="AI86" s="8"/>
    </row>
    <row r="87" spans="1:35" x14ac:dyDescent="0.2">
      <c r="C87" t="s">
        <v>26</v>
      </c>
      <c r="D87" s="18">
        <f>D83/D86</f>
        <v>3.6034532828282832E-2</v>
      </c>
      <c r="K87" s="8"/>
      <c r="M87" t="s">
        <v>270</v>
      </c>
      <c r="N87">
        <v>0.25</v>
      </c>
      <c r="O87" s="60"/>
      <c r="Q87" s="8"/>
      <c r="R87" s="3" t="s">
        <v>244</v>
      </c>
      <c r="V87" s="8"/>
      <c r="Z87" s="8"/>
      <c r="AA87" s="6"/>
      <c r="AB87" s="12" t="s">
        <v>137</v>
      </c>
      <c r="AC87" s="7"/>
      <c r="AD87" s="7"/>
      <c r="AE87" s="7"/>
      <c r="AF87" s="7"/>
      <c r="AG87" s="7"/>
      <c r="AH87" s="7"/>
      <c r="AI87" s="8"/>
    </row>
    <row r="88" spans="1:35" x14ac:dyDescent="0.2">
      <c r="C88" t="s">
        <v>27</v>
      </c>
      <c r="D88" s="18">
        <f>D87*N38</f>
        <v>40.9352292929293</v>
      </c>
      <c r="K88" s="8"/>
      <c r="M88" t="s">
        <v>49</v>
      </c>
      <c r="N88">
        <f>N84*N85/W31</f>
        <v>0</v>
      </c>
      <c r="Q88" s="8"/>
      <c r="V88" s="8"/>
      <c r="Z88" s="8"/>
      <c r="AA88" s="6"/>
      <c r="AB88" s="7"/>
      <c r="AC88" s="7" t="s">
        <v>135</v>
      </c>
      <c r="AD88">
        <v>0.9</v>
      </c>
      <c r="AE88" s="7" t="s">
        <v>233</v>
      </c>
      <c r="AF88" s="7"/>
      <c r="AG88" s="7"/>
      <c r="AH88" s="7"/>
      <c r="AI88" s="8"/>
    </row>
    <row r="89" spans="1:35" x14ac:dyDescent="0.2">
      <c r="K89" s="8"/>
      <c r="M89" t="s">
        <v>50</v>
      </c>
      <c r="N89">
        <f>N86*N84/W32</f>
        <v>0</v>
      </c>
      <c r="Q89" s="8"/>
      <c r="V89" s="8"/>
      <c r="Z89" s="8"/>
      <c r="AA89" s="6"/>
      <c r="AB89" s="7"/>
      <c r="AC89" s="7" t="s">
        <v>136</v>
      </c>
      <c r="AD89">
        <v>0.2</v>
      </c>
      <c r="AE89" s="7" t="s">
        <v>234</v>
      </c>
      <c r="AF89" s="7"/>
      <c r="AG89" s="7"/>
      <c r="AH89" s="7"/>
      <c r="AI89" s="8"/>
    </row>
    <row r="90" spans="1:35" x14ac:dyDescent="0.2">
      <c r="A90" s="9"/>
      <c r="B90" s="9"/>
      <c r="C90" s="9"/>
      <c r="D90" s="9"/>
      <c r="E90" s="9"/>
      <c r="F90" s="9"/>
      <c r="G90" s="9"/>
      <c r="H90" s="9"/>
      <c r="I90" s="9"/>
      <c r="J90" s="9"/>
      <c r="K90" s="10"/>
      <c r="M90" t="s">
        <v>271</v>
      </c>
      <c r="N90">
        <f>N87*N84/W33</f>
        <v>0</v>
      </c>
      <c r="Q90" s="8"/>
      <c r="V90" s="8"/>
      <c r="Z90" s="8"/>
      <c r="AA90" s="6"/>
      <c r="AB90" s="7"/>
      <c r="AC90" s="7" t="s">
        <v>143</v>
      </c>
      <c r="AD90">
        <f>(1-AD88)*AD89</f>
        <v>1.9999999999999997E-2</v>
      </c>
      <c r="AE90" s="7"/>
      <c r="AF90" s="7"/>
      <c r="AG90" s="7"/>
      <c r="AH90" s="7"/>
      <c r="AI90" s="8"/>
    </row>
    <row r="91" spans="1:35" x14ac:dyDescent="0.2">
      <c r="K91" s="8"/>
      <c r="M91" t="s">
        <v>266</v>
      </c>
      <c r="N91">
        <f>SUM(N88:N90)</f>
        <v>0</v>
      </c>
      <c r="Q91" s="8"/>
      <c r="V91" s="8"/>
      <c r="Z91" s="8"/>
      <c r="AA91" s="6"/>
      <c r="AB91" s="7"/>
      <c r="AC91" s="7" t="s">
        <v>138</v>
      </c>
      <c r="AD91">
        <f>(AD89*AD88)*E43</f>
        <v>149.4</v>
      </c>
      <c r="AE91" s="7"/>
      <c r="AF91" s="7"/>
      <c r="AG91" s="7"/>
      <c r="AH91" s="7"/>
      <c r="AI91" s="8"/>
    </row>
    <row r="92" spans="1:35" x14ac:dyDescent="0.2">
      <c r="B92" s="3" t="s">
        <v>108</v>
      </c>
      <c r="D92" s="3" t="s">
        <v>109</v>
      </c>
      <c r="E92" s="3">
        <f>D99</f>
        <v>6.0417759828016253</v>
      </c>
      <c r="K92" s="8"/>
      <c r="M92" s="3" t="s">
        <v>267</v>
      </c>
      <c r="N92">
        <f>N91*N31</f>
        <v>0</v>
      </c>
      <c r="Q92" s="8"/>
      <c r="V92" s="8"/>
      <c r="Z92" s="8"/>
      <c r="AA92" s="6"/>
      <c r="AB92" s="7"/>
      <c r="AC92" s="7" t="s">
        <v>139</v>
      </c>
      <c r="AD92">
        <f>G43*N25</f>
        <v>48924.6</v>
      </c>
      <c r="AE92" s="7"/>
      <c r="AF92" s="7"/>
      <c r="AG92" s="7"/>
      <c r="AH92" s="7"/>
      <c r="AI92" s="8"/>
    </row>
    <row r="93" spans="1:35" x14ac:dyDescent="0.2">
      <c r="B93" s="3" t="s">
        <v>311</v>
      </c>
      <c r="K93" s="8"/>
      <c r="M93" s="3" t="s">
        <v>272</v>
      </c>
      <c r="N93">
        <f>N83*N31</f>
        <v>0</v>
      </c>
      <c r="Q93" s="8"/>
      <c r="V93" s="8"/>
      <c r="Z93" s="8"/>
      <c r="AA93" s="6"/>
      <c r="AB93" s="7"/>
      <c r="AC93" s="7" t="s">
        <v>140</v>
      </c>
      <c r="AD93">
        <f>AD92/AD91</f>
        <v>327.47389558232931</v>
      </c>
      <c r="AF93" s="7"/>
      <c r="AG93" s="7"/>
      <c r="AH93" s="7"/>
      <c r="AI93" s="8"/>
    </row>
    <row r="94" spans="1:35" x14ac:dyDescent="0.2">
      <c r="C94" t="s">
        <v>22</v>
      </c>
      <c r="D94">
        <f>N25*G29</f>
        <v>20385.25</v>
      </c>
      <c r="K94" s="8"/>
      <c r="Q94" s="8"/>
      <c r="V94" s="8"/>
      <c r="Z94" s="8"/>
      <c r="AA94" s="6"/>
      <c r="AB94" s="7"/>
      <c r="AC94" s="7" t="s">
        <v>141</v>
      </c>
      <c r="AD94">
        <f>AD93*N31</f>
        <v>372010.3453815261</v>
      </c>
      <c r="AE94" s="7" t="s">
        <v>317</v>
      </c>
      <c r="AF94" s="7"/>
      <c r="AG94" s="7"/>
      <c r="AH94" s="7"/>
      <c r="AI94" s="8"/>
    </row>
    <row r="95" spans="1:35" x14ac:dyDescent="0.2">
      <c r="C95" t="s">
        <v>23</v>
      </c>
      <c r="D95">
        <v>0</v>
      </c>
      <c r="K95" s="8"/>
      <c r="Q95" s="8"/>
      <c r="V95" s="8"/>
      <c r="Z95" s="8"/>
      <c r="AA95" s="6"/>
      <c r="AB95" s="7"/>
      <c r="AC95" s="7" t="s">
        <v>142</v>
      </c>
      <c r="AD95">
        <f>AD90*AD94</f>
        <v>7440.2069076305206</v>
      </c>
      <c r="AE95" s="7"/>
      <c r="AF95" s="7"/>
      <c r="AG95" s="7"/>
      <c r="AH95" s="7"/>
      <c r="AI95" s="8"/>
    </row>
    <row r="96" spans="1:35" x14ac:dyDescent="0.2">
      <c r="C96" t="s">
        <v>24</v>
      </c>
      <c r="D96">
        <v>0.3</v>
      </c>
      <c r="K96" s="8"/>
      <c r="Q96" s="8"/>
      <c r="V96" s="8"/>
      <c r="Z96" s="8"/>
      <c r="AA96" s="6"/>
      <c r="AB96" s="7"/>
      <c r="AC96" s="7" t="s">
        <v>144</v>
      </c>
      <c r="AD96">
        <f>AD95*E42</f>
        <v>8935688.496064255</v>
      </c>
      <c r="AE96" s="7"/>
      <c r="AF96" s="7"/>
      <c r="AG96" s="7"/>
      <c r="AH96" s="7"/>
      <c r="AI96" s="8"/>
    </row>
    <row r="97" spans="3:35" x14ac:dyDescent="0.2">
      <c r="C97" t="s">
        <v>25</v>
      </c>
      <c r="D97">
        <f>F29*(1-SUM(D95:D96))</f>
        <v>3832919.9999999995</v>
      </c>
      <c r="K97" s="8"/>
      <c r="Q97" s="8"/>
      <c r="V97" s="8"/>
      <c r="Z97" s="8"/>
      <c r="AA97" s="6"/>
      <c r="AB97" s="7"/>
      <c r="AC97" s="7"/>
      <c r="AD97" s="7"/>
      <c r="AE97" s="7"/>
      <c r="AF97" s="7"/>
      <c r="AG97" s="7"/>
      <c r="AH97" s="7"/>
      <c r="AI97" s="8"/>
    </row>
    <row r="98" spans="3:35" x14ac:dyDescent="0.2">
      <c r="C98" t="s">
        <v>26</v>
      </c>
      <c r="D98">
        <f>D94/D97</f>
        <v>5.3184647735929798E-3</v>
      </c>
      <c r="K98" s="8"/>
      <c r="Q98" s="8"/>
      <c r="V98" s="8"/>
      <c r="Z98" s="8"/>
      <c r="AA98" s="6"/>
      <c r="AB98" s="12" t="s">
        <v>121</v>
      </c>
      <c r="AC98" s="7"/>
      <c r="AD98" s="7"/>
      <c r="AE98" s="7"/>
      <c r="AF98" s="7"/>
      <c r="AG98" s="7"/>
      <c r="AH98" s="7"/>
      <c r="AI98" s="8"/>
    </row>
    <row r="99" spans="3:35" x14ac:dyDescent="0.2">
      <c r="C99" t="s">
        <v>27</v>
      </c>
      <c r="D99">
        <f>D98*N38</f>
        <v>6.0417759828016253</v>
      </c>
      <c r="K99" s="8"/>
      <c r="Q99" s="8"/>
      <c r="V99" s="8"/>
      <c r="Z99" s="8"/>
      <c r="AA99" s="6"/>
      <c r="AB99" s="7"/>
      <c r="AC99" s="7" t="s">
        <v>145</v>
      </c>
      <c r="AD99" s="7">
        <v>0.5</v>
      </c>
      <c r="AE99" s="7" t="s">
        <v>113</v>
      </c>
      <c r="AF99" s="7"/>
      <c r="AG99" s="7"/>
      <c r="AH99" s="7"/>
      <c r="AI99" s="8"/>
    </row>
    <row r="100" spans="3:35" x14ac:dyDescent="0.2">
      <c r="K100" s="8"/>
      <c r="Q100" s="8"/>
      <c r="V100" s="8"/>
      <c r="Z100" s="8"/>
      <c r="AA100" s="6"/>
      <c r="AB100" s="7"/>
      <c r="AC100" s="7" t="s">
        <v>146</v>
      </c>
      <c r="AD100" s="7">
        <f>AD99*365</f>
        <v>182.5</v>
      </c>
      <c r="AE100" s="7"/>
      <c r="AF100" s="7"/>
      <c r="AG100" s="7"/>
      <c r="AH100" s="7"/>
      <c r="AI100" s="8"/>
    </row>
    <row r="101" spans="3:35" x14ac:dyDescent="0.2">
      <c r="K101" s="8"/>
      <c r="Q101" s="8"/>
      <c r="V101" s="8"/>
      <c r="Z101" s="8"/>
      <c r="AA101" s="6"/>
      <c r="AB101" s="7"/>
      <c r="AC101" s="7" t="s">
        <v>148</v>
      </c>
      <c r="AD101" s="7">
        <f>V35</f>
        <v>890</v>
      </c>
      <c r="AE101" s="7"/>
      <c r="AF101" s="7"/>
      <c r="AG101" s="7"/>
      <c r="AH101" s="7"/>
      <c r="AI101" s="8"/>
    </row>
    <row r="102" spans="3:35" x14ac:dyDescent="0.2">
      <c r="K102" s="8"/>
      <c r="Q102" s="8"/>
      <c r="V102" s="8"/>
      <c r="Z102" s="8"/>
      <c r="AA102" s="6"/>
      <c r="AB102" s="7"/>
      <c r="AC102" s="7" t="s">
        <v>147</v>
      </c>
      <c r="AD102" s="7">
        <f>AD100*AD101</f>
        <v>162425</v>
      </c>
      <c r="AE102" s="7"/>
      <c r="AF102" s="7"/>
      <c r="AG102" s="7"/>
      <c r="AH102" s="7"/>
      <c r="AI102" s="8"/>
    </row>
    <row r="103" spans="3:35" x14ac:dyDescent="0.2">
      <c r="K103" s="8"/>
      <c r="Q103" s="8"/>
      <c r="V103" s="8"/>
      <c r="Z103" s="8"/>
      <c r="AA103" s="6"/>
      <c r="AB103" s="7"/>
      <c r="AC103" s="7" t="s">
        <v>150</v>
      </c>
      <c r="AD103" s="7">
        <f>AD100*N31</f>
        <v>207320</v>
      </c>
      <c r="AE103" s="7"/>
      <c r="AF103" s="7"/>
      <c r="AG103" s="7"/>
      <c r="AH103" s="7"/>
      <c r="AI103" s="8"/>
    </row>
    <row r="104" spans="3:35" x14ac:dyDescent="0.2">
      <c r="K104" s="8"/>
      <c r="Q104" s="8"/>
      <c r="V104" s="8"/>
      <c r="Z104" s="8"/>
      <c r="AA104" s="6"/>
      <c r="AB104" s="7"/>
      <c r="AC104" s="7" t="s">
        <v>149</v>
      </c>
      <c r="AD104" s="7">
        <f>AD102*N38</f>
        <v>184514800</v>
      </c>
      <c r="AE104" s="7"/>
      <c r="AF104" s="7"/>
      <c r="AG104" s="7"/>
      <c r="AH104" s="7"/>
      <c r="AI104" s="8"/>
    </row>
    <row r="105" spans="3:35" x14ac:dyDescent="0.2">
      <c r="K105" s="8"/>
      <c r="Q105" s="8"/>
      <c r="V105" s="8"/>
      <c r="Z105" s="8"/>
      <c r="AA105" s="6"/>
      <c r="AB105" s="7"/>
      <c r="AC105" s="7"/>
      <c r="AD105" s="7"/>
      <c r="AE105" s="7"/>
      <c r="AF105" s="7"/>
      <c r="AG105" s="7"/>
      <c r="AH105" s="7"/>
      <c r="AI105" s="8"/>
    </row>
    <row r="106" spans="3:35" x14ac:dyDescent="0.2">
      <c r="Z106" s="8"/>
      <c r="AA106" s="23"/>
      <c r="AB106" s="9"/>
      <c r="AC106" s="9"/>
      <c r="AD106" s="9"/>
      <c r="AE106" s="9"/>
      <c r="AF106" s="9"/>
      <c r="AG106" s="9"/>
      <c r="AH106" s="9"/>
      <c r="AI106" s="10"/>
    </row>
  </sheetData>
  <mergeCells count="10">
    <mergeCell ref="O69:O71"/>
    <mergeCell ref="F74:F76"/>
    <mergeCell ref="G74:G76"/>
    <mergeCell ref="O85:O87"/>
    <mergeCell ref="B25:B33"/>
    <mergeCell ref="B34:B39"/>
    <mergeCell ref="B40:B43"/>
    <mergeCell ref="O53:O54"/>
    <mergeCell ref="F67:F68"/>
    <mergeCell ref="G67:G68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FB06F2-B14A-964D-9607-58AA9AFE702B}">
  <dimension ref="A1:AI106"/>
  <sheetViews>
    <sheetView topLeftCell="A29" workbookViewId="0">
      <selection activeCell="H41" sqref="H41"/>
    </sheetView>
  </sheetViews>
  <sheetFormatPr baseColWidth="10" defaultRowHeight="16" x14ac:dyDescent="0.2"/>
  <cols>
    <col min="1" max="1" width="13.33203125" customWidth="1"/>
    <col min="2" max="2" width="14" customWidth="1"/>
    <col min="3" max="3" width="34.6640625" customWidth="1"/>
    <col min="4" max="4" width="19" customWidth="1"/>
    <col min="6" max="6" width="15" customWidth="1"/>
    <col min="13" max="13" width="43.5" customWidth="1"/>
    <col min="18" max="18" width="14.6640625" customWidth="1"/>
    <col min="19" max="19" width="43.83203125" customWidth="1"/>
    <col min="20" max="20" width="17.5" customWidth="1"/>
    <col min="22" max="22" width="14.5" customWidth="1"/>
    <col min="23" max="23" width="23.5" customWidth="1"/>
    <col min="24" max="24" width="33" customWidth="1"/>
    <col min="27" max="27" width="22.83203125" bestFit="1" customWidth="1"/>
    <col min="28" max="28" width="13.33203125" customWidth="1"/>
    <col min="29" max="29" width="50.1640625" bestFit="1" customWidth="1"/>
    <col min="30" max="30" width="12.1640625" bestFit="1" customWidth="1"/>
    <col min="33" max="33" width="45.6640625" bestFit="1" customWidth="1"/>
  </cols>
  <sheetData>
    <row r="1" spans="1:5" ht="21" x14ac:dyDescent="0.25">
      <c r="A1" s="2" t="s">
        <v>0</v>
      </c>
    </row>
    <row r="2" spans="1:5" ht="21" x14ac:dyDescent="0.25">
      <c r="A2" s="2" t="s">
        <v>167</v>
      </c>
      <c r="B2" s="2">
        <v>1800</v>
      </c>
    </row>
    <row r="3" spans="1:5" s="9" customFormat="1" ht="21" x14ac:dyDescent="0.25">
      <c r="A3" s="19" t="s">
        <v>166</v>
      </c>
      <c r="B3" s="19" t="s">
        <v>302</v>
      </c>
    </row>
    <row r="7" spans="1:5" ht="19" x14ac:dyDescent="0.25">
      <c r="B7" s="20" t="s">
        <v>168</v>
      </c>
      <c r="C7" s="4"/>
      <c r="D7" s="4"/>
      <c r="E7" s="5"/>
    </row>
    <row r="8" spans="1:5" x14ac:dyDescent="0.2">
      <c r="B8" s="21" t="s">
        <v>169</v>
      </c>
      <c r="C8" s="12" t="s">
        <v>251</v>
      </c>
      <c r="D8" s="12" t="s">
        <v>104</v>
      </c>
      <c r="E8" s="22" t="s">
        <v>252</v>
      </c>
    </row>
    <row r="9" spans="1:5" x14ac:dyDescent="0.2">
      <c r="B9" s="6">
        <v>1</v>
      </c>
      <c r="C9" s="7" t="s">
        <v>105</v>
      </c>
      <c r="D9" s="15">
        <f>N34*(N38/N31)</f>
        <v>2.1999999999999999E-2</v>
      </c>
      <c r="E9" s="8">
        <v>1</v>
      </c>
    </row>
    <row r="10" spans="1:5" x14ac:dyDescent="0.2">
      <c r="B10" s="6">
        <v>2</v>
      </c>
      <c r="C10" s="7" t="s">
        <v>212</v>
      </c>
      <c r="D10" s="15">
        <f>E48+G69</f>
        <v>0.84384889602554625</v>
      </c>
      <c r="E10" s="8">
        <v>2</v>
      </c>
    </row>
    <row r="11" spans="1:5" x14ac:dyDescent="0.2">
      <c r="B11" s="6">
        <v>3</v>
      </c>
      <c r="C11" s="7" t="s">
        <v>213</v>
      </c>
      <c r="D11" s="15">
        <f>E57</f>
        <v>0</v>
      </c>
      <c r="E11" s="8">
        <v>3</v>
      </c>
    </row>
    <row r="12" spans="1:5" x14ac:dyDescent="0.2">
      <c r="B12" s="6">
        <v>4</v>
      </c>
      <c r="C12" s="7" t="s">
        <v>214</v>
      </c>
      <c r="D12" s="15">
        <f>D11/(1/3)-D11</f>
        <v>0</v>
      </c>
      <c r="E12" s="8">
        <v>4</v>
      </c>
    </row>
    <row r="13" spans="1:5" x14ac:dyDescent="0.2">
      <c r="B13" s="6">
        <v>5</v>
      </c>
      <c r="C13" s="7" t="s">
        <v>285</v>
      </c>
      <c r="D13" s="15">
        <f>N75+N92</f>
        <v>0.32725390944651295</v>
      </c>
      <c r="E13" s="8">
        <v>4</v>
      </c>
    </row>
    <row r="14" spans="1:5" x14ac:dyDescent="0.2">
      <c r="B14" s="6">
        <v>6</v>
      </c>
      <c r="C14" s="7" t="s">
        <v>215</v>
      </c>
      <c r="D14" s="15">
        <f>E92</f>
        <v>2.1273859094371919E-2</v>
      </c>
      <c r="E14" s="8">
        <v>5</v>
      </c>
    </row>
    <row r="15" spans="1:5" x14ac:dyDescent="0.2">
      <c r="B15" s="6">
        <v>7</v>
      </c>
      <c r="C15" s="7" t="s">
        <v>216</v>
      </c>
      <c r="D15" s="15">
        <f>U47</f>
        <v>0.29999999999999993</v>
      </c>
      <c r="E15" s="8">
        <v>5</v>
      </c>
    </row>
    <row r="16" spans="1:5" x14ac:dyDescent="0.2">
      <c r="B16" s="6">
        <v>8</v>
      </c>
      <c r="C16" s="7" t="s">
        <v>238</v>
      </c>
      <c r="D16" s="15">
        <f>N58</f>
        <v>0.21364678436552584</v>
      </c>
      <c r="E16" s="8">
        <v>6</v>
      </c>
    </row>
    <row r="17" spans="1:35" x14ac:dyDescent="0.2">
      <c r="B17" s="6">
        <v>9</v>
      </c>
      <c r="C17" s="7" t="s">
        <v>106</v>
      </c>
      <c r="D17" s="15">
        <f>Y52</f>
        <v>4.8943515599999996</v>
      </c>
      <c r="E17" s="8">
        <v>6</v>
      </c>
    </row>
    <row r="18" spans="1:35" x14ac:dyDescent="0.2">
      <c r="B18" s="6">
        <v>10</v>
      </c>
      <c r="C18" s="7" t="s">
        <v>211</v>
      </c>
      <c r="D18" s="15">
        <f>SUM(D9:D15)+D16</f>
        <v>1.728023448931957</v>
      </c>
      <c r="E18" s="8" t="s">
        <v>16</v>
      </c>
    </row>
    <row r="19" spans="1:35" x14ac:dyDescent="0.2">
      <c r="B19" s="23">
        <v>11</v>
      </c>
      <c r="C19" s="46" t="s">
        <v>253</v>
      </c>
      <c r="D19" s="41">
        <f>SUM(D9:D17)</f>
        <v>6.6223750089319564</v>
      </c>
      <c r="E19" s="10" t="s">
        <v>16</v>
      </c>
    </row>
    <row r="21" spans="1:35" s="4" customFormat="1" x14ac:dyDescent="0.2">
      <c r="A21" s="26"/>
      <c r="K21" s="5"/>
      <c r="Q21" s="5"/>
      <c r="R21" s="26"/>
      <c r="Z21" s="5"/>
      <c r="AA21" s="26"/>
      <c r="AI21" s="5"/>
    </row>
    <row r="22" spans="1:35" ht="19" x14ac:dyDescent="0.25">
      <c r="A22" s="27" t="s">
        <v>170</v>
      </c>
      <c r="C22" s="7"/>
      <c r="D22" s="7"/>
      <c r="E22" s="7"/>
      <c r="F22" s="7"/>
      <c r="G22" s="7"/>
      <c r="H22" s="7"/>
      <c r="I22" s="7"/>
      <c r="J22" s="7"/>
      <c r="K22" s="8"/>
      <c r="L22" s="7"/>
      <c r="M22" s="7"/>
      <c r="N22" s="7"/>
      <c r="O22" s="7"/>
      <c r="P22" s="7"/>
      <c r="Q22" s="8"/>
      <c r="R22" s="6"/>
      <c r="S22" s="7"/>
      <c r="T22" s="7"/>
      <c r="U22" s="7"/>
      <c r="V22" s="7"/>
      <c r="W22" s="7"/>
      <c r="X22" s="7"/>
      <c r="Y22" s="7"/>
      <c r="Z22" s="8"/>
      <c r="AA22" s="6"/>
      <c r="AB22" s="7"/>
      <c r="AC22" s="7"/>
      <c r="AD22" s="7"/>
      <c r="AE22" s="7"/>
      <c r="AF22" s="7"/>
      <c r="AG22" s="7"/>
      <c r="AH22" s="7"/>
      <c r="AI22" s="8"/>
    </row>
    <row r="23" spans="1:35" ht="19" x14ac:dyDescent="0.25">
      <c r="A23" s="24" t="s">
        <v>28</v>
      </c>
      <c r="C23" s="7"/>
      <c r="D23" s="7"/>
      <c r="E23" s="7"/>
      <c r="F23" s="7"/>
      <c r="G23" s="7"/>
      <c r="H23" s="7"/>
      <c r="I23" s="7"/>
      <c r="J23" s="7"/>
      <c r="K23" s="8"/>
      <c r="L23" s="24" t="s">
        <v>31</v>
      </c>
      <c r="N23" s="7"/>
      <c r="O23" s="7"/>
      <c r="P23" s="7"/>
      <c r="Q23" s="8"/>
      <c r="R23" s="31" t="s">
        <v>45</v>
      </c>
      <c r="S23" s="7"/>
      <c r="T23" s="7"/>
      <c r="U23" s="7"/>
      <c r="V23" s="7"/>
      <c r="W23" s="7"/>
      <c r="X23" s="7"/>
      <c r="Y23" s="7"/>
      <c r="Z23" s="8"/>
      <c r="AA23" s="31" t="s">
        <v>152</v>
      </c>
      <c r="AB23" s="7"/>
      <c r="AC23" s="7"/>
      <c r="AD23" s="7"/>
      <c r="AE23" s="7"/>
      <c r="AF23" s="7"/>
      <c r="AG23" s="7"/>
      <c r="AH23" s="7"/>
      <c r="AI23" s="8"/>
    </row>
    <row r="24" spans="1:35" ht="34" x14ac:dyDescent="0.2">
      <c r="A24" s="6"/>
      <c r="B24" s="51"/>
      <c r="C24" s="51" t="s">
        <v>1</v>
      </c>
      <c r="D24" s="51" t="s">
        <v>2</v>
      </c>
      <c r="E24" s="47" t="s">
        <v>3</v>
      </c>
      <c r="F24" s="47" t="s">
        <v>4</v>
      </c>
      <c r="G24" s="48" t="s">
        <v>44</v>
      </c>
      <c r="H24" t="s">
        <v>18</v>
      </c>
      <c r="I24" s="7"/>
      <c r="J24" s="7"/>
      <c r="K24" s="8"/>
      <c r="L24" s="7"/>
      <c r="M24" s="7" t="s">
        <v>29</v>
      </c>
      <c r="N24" s="7">
        <v>2234</v>
      </c>
      <c r="O24" s="7" t="s">
        <v>172</v>
      </c>
      <c r="P24" s="7"/>
      <c r="Q24" s="8"/>
      <c r="R24" s="6"/>
      <c r="S24" s="33" t="s">
        <v>47</v>
      </c>
      <c r="T24" s="28">
        <v>45</v>
      </c>
      <c r="U24" s="7"/>
      <c r="V24" s="7"/>
      <c r="W24" s="14" t="s">
        <v>52</v>
      </c>
      <c r="X24" s="28">
        <v>7.3599999999999999E-2</v>
      </c>
      <c r="Y24" s="7" t="s">
        <v>274</v>
      </c>
      <c r="Z24" s="8"/>
      <c r="AA24" s="6"/>
      <c r="AB24" s="7"/>
      <c r="AC24" s="12" t="s">
        <v>153</v>
      </c>
      <c r="AD24" s="12" t="s">
        <v>154</v>
      </c>
      <c r="AE24" s="7"/>
      <c r="AF24" s="7"/>
      <c r="AG24" s="7" t="s">
        <v>161</v>
      </c>
      <c r="AH24" s="7">
        <f>N59</f>
        <v>1.3775970062889895</v>
      </c>
      <c r="AI24" s="8"/>
    </row>
    <row r="25" spans="1:35" ht="34" x14ac:dyDescent="0.2">
      <c r="A25" s="6"/>
      <c r="B25" s="61" t="s">
        <v>17</v>
      </c>
      <c r="C25" t="s">
        <v>5</v>
      </c>
      <c r="D25" s="51">
        <v>1650</v>
      </c>
      <c r="E25" s="54">
        <v>3540</v>
      </c>
      <c r="F25" s="49">
        <f>D25*E25</f>
        <v>5841000</v>
      </c>
      <c r="G25" s="51">
        <f>0.32+0.42</f>
        <v>0.74</v>
      </c>
      <c r="H25" t="s">
        <v>303</v>
      </c>
      <c r="I25" s="7"/>
      <c r="L25" s="7"/>
      <c r="M25" s="7" t="s">
        <v>30</v>
      </c>
      <c r="N25" s="7">
        <f>N24*365</f>
        <v>815410</v>
      </c>
      <c r="O25" s="7"/>
      <c r="P25" s="7"/>
      <c r="Q25" s="8"/>
      <c r="R25" s="6"/>
      <c r="S25" s="33" t="s">
        <v>46</v>
      </c>
      <c r="T25" s="28">
        <v>436</v>
      </c>
      <c r="U25" s="32" t="s">
        <v>218</v>
      </c>
      <c r="V25" s="7"/>
      <c r="W25" s="14" t="s">
        <v>53</v>
      </c>
      <c r="X25" s="28">
        <v>0.222</v>
      </c>
      <c r="Y25" s="32" t="s">
        <v>275</v>
      </c>
      <c r="Z25" s="8"/>
      <c r="AA25" s="6"/>
      <c r="AB25" s="12" t="s">
        <v>151</v>
      </c>
      <c r="AC25" s="36">
        <f>AD56/1000</f>
        <v>4841.9329436579164</v>
      </c>
      <c r="AD25" s="36">
        <f>AC25*$AB$39</f>
        <v>2324127.8129558</v>
      </c>
      <c r="AE25" s="7"/>
      <c r="AF25" s="7"/>
      <c r="AG25" s="7" t="s">
        <v>162</v>
      </c>
      <c r="AH25" s="7">
        <f>N52/N51</f>
        <v>579475.04789838311</v>
      </c>
      <c r="AI25" s="8"/>
    </row>
    <row r="26" spans="1:35" ht="34" x14ac:dyDescent="0.2">
      <c r="A26" s="6"/>
      <c r="B26" s="61"/>
      <c r="C26" t="s">
        <v>315</v>
      </c>
      <c r="D26" s="51">
        <v>6000</v>
      </c>
      <c r="E26" s="54">
        <v>1320</v>
      </c>
      <c r="F26" s="49">
        <f t="shared" ref="F26:F32" si="0">D26*E26</f>
        <v>7920000</v>
      </c>
      <c r="G26" s="51">
        <v>0</v>
      </c>
      <c r="H26" t="s">
        <v>303</v>
      </c>
      <c r="I26" s="7"/>
      <c r="J26" s="7"/>
      <c r="K26" s="8"/>
      <c r="L26" s="7"/>
      <c r="M26" s="7"/>
      <c r="N26" s="7"/>
      <c r="O26" s="7"/>
      <c r="P26" s="7"/>
      <c r="Q26" s="8"/>
      <c r="R26" s="6"/>
      <c r="S26" s="33" t="s">
        <v>269</v>
      </c>
      <c r="T26" s="28">
        <v>35</v>
      </c>
      <c r="U26" s="7"/>
      <c r="V26" s="7"/>
      <c r="W26" s="14" t="s">
        <v>273</v>
      </c>
      <c r="X26" s="28">
        <v>0.113</v>
      </c>
      <c r="Y26" s="7" t="s">
        <v>274</v>
      </c>
      <c r="Z26" s="8"/>
      <c r="AA26" s="6"/>
      <c r="AB26" s="12" t="s">
        <v>155</v>
      </c>
      <c r="AC26" s="36">
        <f>AD65/1000</f>
        <v>0</v>
      </c>
      <c r="AD26" s="36">
        <f>AC26*$AB$39</f>
        <v>0</v>
      </c>
      <c r="AE26" s="7"/>
      <c r="AF26" s="7"/>
      <c r="AG26" s="7" t="s">
        <v>163</v>
      </c>
      <c r="AH26" s="36">
        <f>AH25*AH24</f>
        <v>798283.09120398143</v>
      </c>
      <c r="AI26" s="8"/>
    </row>
    <row r="27" spans="1:35" ht="16" customHeight="1" x14ac:dyDescent="0.2">
      <c r="A27" s="6"/>
      <c r="B27" s="61"/>
      <c r="C27" t="s">
        <v>120</v>
      </c>
      <c r="D27" s="51">
        <v>2000</v>
      </c>
      <c r="E27" s="54">
        <v>1110</v>
      </c>
      <c r="F27" s="49">
        <f t="shared" si="0"/>
        <v>2220000</v>
      </c>
      <c r="G27" s="51">
        <v>2.1999999999999999E-2</v>
      </c>
      <c r="I27" s="7"/>
      <c r="J27" s="7"/>
      <c r="K27" s="8"/>
      <c r="L27" s="9"/>
      <c r="M27" s="9"/>
      <c r="N27" s="9"/>
      <c r="O27" s="9"/>
      <c r="P27" s="9"/>
      <c r="Q27" s="10"/>
      <c r="R27" s="6"/>
      <c r="S27" s="7"/>
      <c r="T27" s="7"/>
      <c r="U27" s="7"/>
      <c r="V27" s="7"/>
      <c r="W27" s="7"/>
      <c r="X27" s="7"/>
      <c r="Y27" s="7"/>
      <c r="Z27" s="8"/>
      <c r="AA27" s="6"/>
      <c r="AB27" s="12" t="s">
        <v>156</v>
      </c>
      <c r="AC27" s="36">
        <f>AD74/1000</f>
        <v>198.33121931531534</v>
      </c>
      <c r="AD27" s="36">
        <f>AC27*AB40</f>
        <v>47797.823854990995</v>
      </c>
      <c r="AE27" s="7"/>
      <c r="AF27" s="7"/>
      <c r="AG27" s="7"/>
      <c r="AH27" s="7"/>
      <c r="AI27" s="8"/>
    </row>
    <row r="28" spans="1:35" x14ac:dyDescent="0.2">
      <c r="A28" s="6"/>
      <c r="B28" s="61"/>
      <c r="C28" t="s">
        <v>276</v>
      </c>
      <c r="D28" s="51">
        <v>5000</v>
      </c>
      <c r="E28" s="54">
        <v>950</v>
      </c>
      <c r="F28" s="49">
        <f t="shared" si="0"/>
        <v>4750000</v>
      </c>
      <c r="G28" s="51">
        <v>0</v>
      </c>
      <c r="H28" t="s">
        <v>303</v>
      </c>
      <c r="I28" s="7"/>
      <c r="J28" s="7"/>
      <c r="K28" s="8"/>
      <c r="L28" s="7"/>
      <c r="M28" s="7"/>
      <c r="N28" s="7"/>
      <c r="O28" s="7"/>
      <c r="P28" s="7"/>
      <c r="Q28" s="8"/>
      <c r="R28" s="6"/>
      <c r="S28" s="7"/>
      <c r="T28" s="7"/>
      <c r="Y28" s="7"/>
      <c r="Z28" s="8"/>
      <c r="AA28" s="6"/>
      <c r="AB28" s="12" t="s">
        <v>157</v>
      </c>
      <c r="AC28" s="36">
        <f>AD85</f>
        <v>90.464317563642453</v>
      </c>
      <c r="AD28" s="36">
        <f>AD86</f>
        <v>80513.242631641784</v>
      </c>
      <c r="AE28" s="7"/>
      <c r="AF28" s="7"/>
      <c r="AG28" s="7"/>
      <c r="AH28" s="7"/>
      <c r="AI28" s="8"/>
    </row>
    <row r="29" spans="1:35" ht="19" x14ac:dyDescent="0.25">
      <c r="A29" s="6"/>
      <c r="B29" s="61"/>
      <c r="C29" t="s">
        <v>311</v>
      </c>
      <c r="D29" s="51">
        <v>5070</v>
      </c>
      <c r="E29" s="54">
        <v>1080</v>
      </c>
      <c r="F29" s="49">
        <f t="shared" si="0"/>
        <v>5475600</v>
      </c>
      <c r="G29" s="51">
        <v>2.5000000000000001E-2</v>
      </c>
      <c r="I29" s="7"/>
      <c r="J29" s="7"/>
      <c r="K29" s="8"/>
      <c r="L29" s="24" t="s">
        <v>32</v>
      </c>
      <c r="N29" s="7"/>
      <c r="O29" s="7"/>
      <c r="P29" s="7"/>
      <c r="Q29" s="8"/>
      <c r="R29" s="6"/>
      <c r="S29" s="7"/>
      <c r="T29" s="7"/>
      <c r="U29" s="28" t="s">
        <v>56</v>
      </c>
      <c r="V29" s="28" t="s">
        <v>57</v>
      </c>
      <c r="W29" s="28" t="s">
        <v>58</v>
      </c>
      <c r="X29" s="7"/>
      <c r="Y29" s="7"/>
      <c r="Z29" s="8"/>
      <c r="AA29" s="6"/>
      <c r="AB29" s="12" t="s">
        <v>158</v>
      </c>
      <c r="AC29" s="36">
        <f>AD95</f>
        <v>26.197911646586341</v>
      </c>
      <c r="AD29" s="36">
        <f t="shared" ref="AD29" si="1">AC29*$AB$39</f>
        <v>12574.997590361443</v>
      </c>
      <c r="AE29" s="7"/>
      <c r="AF29" s="7"/>
      <c r="AG29" s="7" t="s">
        <v>164</v>
      </c>
      <c r="AH29" s="7" t="str">
        <f>IF(AD31&gt;AH26,"YES","NO")</f>
        <v>YES</v>
      </c>
      <c r="AI29" s="8"/>
    </row>
    <row r="30" spans="1:35" x14ac:dyDescent="0.2">
      <c r="A30" s="6"/>
      <c r="B30" s="61"/>
      <c r="C30" t="s">
        <v>7</v>
      </c>
      <c r="D30" s="49" t="s">
        <v>16</v>
      </c>
      <c r="E30" s="49" t="s">
        <v>16</v>
      </c>
      <c r="F30" s="49" t="s">
        <v>16</v>
      </c>
      <c r="G30" s="51">
        <v>0</v>
      </c>
      <c r="I30" s="7"/>
      <c r="J30" s="7"/>
      <c r="K30" s="8"/>
      <c r="L30" s="7"/>
      <c r="M30" s="12" t="s">
        <v>34</v>
      </c>
      <c r="N30" s="12" t="s">
        <v>35</v>
      </c>
      <c r="O30" s="12" t="s">
        <v>36</v>
      </c>
      <c r="P30" s="7"/>
      <c r="Q30" s="8"/>
      <c r="R30" s="6"/>
      <c r="T30" s="12"/>
      <c r="U30" s="28" t="s">
        <v>59</v>
      </c>
      <c r="V30" s="28" t="s">
        <v>60</v>
      </c>
      <c r="W30" s="28" t="s">
        <v>61</v>
      </c>
      <c r="X30" s="7" t="s">
        <v>177</v>
      </c>
      <c r="Y30" s="7"/>
      <c r="Z30" s="8"/>
      <c r="AA30" s="6"/>
      <c r="AB30" s="12" t="s">
        <v>159</v>
      </c>
      <c r="AC30" s="36">
        <f>AD103</f>
        <v>730</v>
      </c>
      <c r="AD30" s="36">
        <f>AD104</f>
        <v>649700</v>
      </c>
      <c r="AE30" s="7"/>
      <c r="AF30" s="7"/>
      <c r="AG30" s="7" t="s">
        <v>165</v>
      </c>
      <c r="AH30" s="15">
        <f>AD31/AH26</f>
        <v>3.9017660668913083</v>
      </c>
      <c r="AI30" s="8"/>
    </row>
    <row r="31" spans="1:35" x14ac:dyDescent="0.2">
      <c r="A31" s="6"/>
      <c r="B31" s="61"/>
      <c r="C31" t="s">
        <v>8</v>
      </c>
      <c r="D31" s="51" t="s">
        <v>16</v>
      </c>
      <c r="E31" s="49" t="s">
        <v>16</v>
      </c>
      <c r="F31" s="49" t="s">
        <v>16</v>
      </c>
      <c r="G31" s="51">
        <v>0</v>
      </c>
      <c r="I31" s="7"/>
      <c r="J31" s="7"/>
      <c r="K31" s="8"/>
      <c r="L31" s="7"/>
      <c r="M31" s="12" t="s">
        <v>33</v>
      </c>
      <c r="N31" s="12">
        <v>4</v>
      </c>
      <c r="O31" s="7"/>
      <c r="P31" s="7"/>
      <c r="Q31" s="8"/>
      <c r="R31" s="6"/>
      <c r="S31" s="33" t="s">
        <v>179</v>
      </c>
      <c r="T31" s="12" t="s">
        <v>62</v>
      </c>
      <c r="U31" s="7">
        <v>700</v>
      </c>
      <c r="V31" s="7">
        <v>1452</v>
      </c>
      <c r="W31" s="7">
        <f>U31*V31</f>
        <v>1016400</v>
      </c>
      <c r="X31" s="32" t="s">
        <v>178</v>
      </c>
      <c r="Y31" s="7"/>
      <c r="Z31" s="8"/>
      <c r="AA31" s="6"/>
      <c r="AB31" s="12" t="s">
        <v>160</v>
      </c>
      <c r="AC31" s="36">
        <f>SUM(AC25:AC30)</f>
        <v>5886.9263921834608</v>
      </c>
      <c r="AD31" s="36">
        <f>SUM(AD25:AD30)</f>
        <v>3114713.8770327941</v>
      </c>
      <c r="AE31" s="7"/>
      <c r="AF31" s="7"/>
      <c r="AG31" s="11" t="s">
        <v>235</v>
      </c>
      <c r="AH31" s="15">
        <f>(AD25+AD26+AD27+AD30)/AH26</f>
        <v>3.7851555044884315</v>
      </c>
      <c r="AI31" s="8"/>
    </row>
    <row r="32" spans="1:35" x14ac:dyDescent="0.2">
      <c r="A32" s="6"/>
      <c r="B32" s="61"/>
      <c r="C32" t="s">
        <v>277</v>
      </c>
      <c r="D32" s="51">
        <v>12000</v>
      </c>
      <c r="E32" s="54">
        <v>410</v>
      </c>
      <c r="F32" s="49">
        <f t="shared" si="0"/>
        <v>4920000</v>
      </c>
      <c r="G32" s="51">
        <v>1.4999999999999999E-2</v>
      </c>
      <c r="I32" s="7"/>
      <c r="J32" s="7"/>
      <c r="K32" s="8"/>
      <c r="L32" s="7"/>
      <c r="M32" s="7" t="s">
        <v>37</v>
      </c>
      <c r="N32" s="7">
        <v>284</v>
      </c>
      <c r="O32" s="7" t="s">
        <v>283</v>
      </c>
      <c r="P32" s="7"/>
      <c r="Q32" s="8"/>
      <c r="R32" s="6"/>
      <c r="S32" s="7"/>
      <c r="T32" s="12" t="s">
        <v>63</v>
      </c>
      <c r="U32" s="7">
        <v>700</v>
      </c>
      <c r="V32" s="7">
        <v>2151</v>
      </c>
      <c r="W32" s="7">
        <f>U32*V32</f>
        <v>1505700</v>
      </c>
      <c r="X32" s="32" t="s">
        <v>178</v>
      </c>
      <c r="Y32" s="7"/>
      <c r="Z32" s="8"/>
      <c r="AA32" s="6"/>
      <c r="AB32" s="7"/>
      <c r="AC32" s="7"/>
      <c r="AD32" s="7"/>
      <c r="AE32" s="7"/>
      <c r="AF32" s="7"/>
      <c r="AG32" s="11" t="s">
        <v>236</v>
      </c>
      <c r="AH32" s="15">
        <f>(SUM(AD25:AD26)+AD30)/AH26</f>
        <v>3.7252797231000252</v>
      </c>
      <c r="AI32" s="8"/>
    </row>
    <row r="33" spans="1:35" x14ac:dyDescent="0.2">
      <c r="A33" s="6"/>
      <c r="B33" s="61"/>
      <c r="C33" t="s">
        <v>278</v>
      </c>
      <c r="D33" s="49" t="s">
        <v>16</v>
      </c>
      <c r="E33" s="49" t="s">
        <v>16</v>
      </c>
      <c r="F33" s="49" t="s">
        <v>16</v>
      </c>
      <c r="G33" s="51">
        <v>3.5000000000000003E-2</v>
      </c>
      <c r="I33" s="7"/>
      <c r="J33" s="7"/>
      <c r="K33" s="8"/>
      <c r="L33" s="7"/>
      <c r="M33" s="7" t="s">
        <v>38</v>
      </c>
      <c r="N33" s="7">
        <v>4</v>
      </c>
      <c r="O33" s="7"/>
      <c r="P33" s="7"/>
      <c r="Q33" s="8"/>
      <c r="R33" s="6"/>
      <c r="S33" s="7"/>
      <c r="T33" s="12" t="s">
        <v>64</v>
      </c>
      <c r="U33" s="7"/>
      <c r="V33" s="7"/>
      <c r="W33" s="7">
        <v>373646.2</v>
      </c>
      <c r="X33" s="32" t="s">
        <v>178</v>
      </c>
      <c r="Y33" s="7"/>
      <c r="Z33" s="8"/>
      <c r="AA33" s="6"/>
      <c r="AB33" s="7"/>
      <c r="AC33" s="7"/>
      <c r="AD33" s="7"/>
      <c r="AE33" s="7"/>
      <c r="AF33" s="7"/>
      <c r="AG33" s="11" t="s">
        <v>237</v>
      </c>
      <c r="AH33" s="15">
        <f>(AD26+AD30)/AH26</f>
        <v>0.81387167930628923</v>
      </c>
      <c r="AI33" s="8"/>
    </row>
    <row r="34" spans="1:35" ht="16" customHeight="1" x14ac:dyDescent="0.2">
      <c r="A34" s="6"/>
      <c r="B34" s="63" t="s">
        <v>20</v>
      </c>
      <c r="C34" t="s">
        <v>10</v>
      </c>
      <c r="D34" s="51" t="s">
        <v>16</v>
      </c>
      <c r="E34" s="54">
        <v>2370</v>
      </c>
      <c r="F34" s="51" t="s">
        <v>16</v>
      </c>
      <c r="G34" s="51">
        <v>0.01</v>
      </c>
      <c r="H34" t="s">
        <v>19</v>
      </c>
      <c r="I34" s="7"/>
      <c r="J34" s="7"/>
      <c r="K34" s="8"/>
      <c r="L34" s="7"/>
      <c r="M34" s="12" t="s">
        <v>40</v>
      </c>
      <c r="N34" s="12">
        <f>4*0.0055</f>
        <v>2.1999999999999999E-2</v>
      </c>
      <c r="O34" s="7" t="s">
        <v>284</v>
      </c>
      <c r="P34" s="7"/>
      <c r="Q34" s="8"/>
      <c r="R34" s="6"/>
      <c r="S34" s="7"/>
      <c r="T34" s="12" t="s">
        <v>65</v>
      </c>
      <c r="U34" s="7">
        <f>N31*3</f>
        <v>12</v>
      </c>
      <c r="V34" s="7">
        <v>1122</v>
      </c>
      <c r="W34" s="7">
        <f>U34*V34</f>
        <v>13464</v>
      </c>
      <c r="X34" s="32" t="s">
        <v>178</v>
      </c>
      <c r="Y34" s="7"/>
      <c r="Z34" s="8"/>
      <c r="AA34" s="6"/>
      <c r="AB34" s="7"/>
      <c r="AC34" s="7"/>
      <c r="AD34" s="7"/>
      <c r="AE34" s="7"/>
      <c r="AF34" s="7"/>
      <c r="AG34" s="7"/>
      <c r="AH34" s="7"/>
      <c r="AI34" s="8"/>
    </row>
    <row r="35" spans="1:35" ht="16" customHeight="1" x14ac:dyDescent="0.2">
      <c r="A35" s="6"/>
      <c r="B35" s="63"/>
      <c r="C35" t="s">
        <v>11</v>
      </c>
      <c r="D35" s="51" t="s">
        <v>16</v>
      </c>
      <c r="E35" s="54">
        <v>1730</v>
      </c>
      <c r="F35" s="51" t="s">
        <v>16</v>
      </c>
      <c r="G35" s="51">
        <v>0.01</v>
      </c>
      <c r="H35" t="s">
        <v>19</v>
      </c>
      <c r="I35" s="7"/>
      <c r="J35" s="7"/>
      <c r="K35" s="8"/>
      <c r="L35" s="7"/>
      <c r="M35" s="7" t="s">
        <v>39</v>
      </c>
      <c r="N35" s="7">
        <f>N34/N31</f>
        <v>5.4999999999999997E-3</v>
      </c>
      <c r="O35" s="7"/>
      <c r="P35" s="7"/>
      <c r="Q35" s="8"/>
      <c r="R35" s="6"/>
      <c r="S35" s="7"/>
      <c r="T35" s="12" t="s">
        <v>121</v>
      </c>
      <c r="U35" s="7" t="s">
        <v>122</v>
      </c>
      <c r="V35" s="7">
        <v>890</v>
      </c>
      <c r="W35" s="7" t="s">
        <v>122</v>
      </c>
      <c r="X35" s="43" t="s">
        <v>113</v>
      </c>
      <c r="Y35" s="7"/>
      <c r="Z35" s="8"/>
      <c r="AA35" s="6"/>
      <c r="AB35" s="7"/>
      <c r="AC35" s="7"/>
      <c r="AD35" s="7"/>
      <c r="AE35" s="7"/>
      <c r="AF35" s="7"/>
      <c r="AG35" s="7"/>
      <c r="AH35" s="7"/>
      <c r="AI35" s="8"/>
    </row>
    <row r="36" spans="1:35" x14ac:dyDescent="0.2">
      <c r="A36" s="6"/>
      <c r="B36" s="63"/>
      <c r="C36" t="s">
        <v>12</v>
      </c>
      <c r="D36" s="51" t="s">
        <v>16</v>
      </c>
      <c r="E36" s="54">
        <v>1201</v>
      </c>
      <c r="F36" s="51" t="s">
        <v>16</v>
      </c>
      <c r="G36" s="51">
        <v>5.0000000000000001E-3</v>
      </c>
      <c r="I36" s="7"/>
      <c r="J36" s="7"/>
      <c r="K36" s="8"/>
      <c r="L36" s="7"/>
      <c r="M36" s="7"/>
      <c r="N36" s="7"/>
      <c r="O36" s="7"/>
      <c r="P36" s="7"/>
      <c r="Q36" s="8"/>
      <c r="R36" s="6"/>
      <c r="S36" s="7"/>
      <c r="T36" s="7"/>
      <c r="U36" s="7"/>
      <c r="V36" s="7"/>
      <c r="W36" s="7"/>
      <c r="X36" s="7"/>
      <c r="Y36" s="7"/>
      <c r="Z36" s="8"/>
      <c r="AA36" s="6"/>
      <c r="AB36" s="7"/>
      <c r="AC36" s="7"/>
      <c r="AD36" s="7"/>
      <c r="AE36" s="7"/>
      <c r="AF36" s="7"/>
      <c r="AG36" s="7"/>
      <c r="AH36" s="7"/>
      <c r="AI36" s="8"/>
    </row>
    <row r="37" spans="1:35" x14ac:dyDescent="0.2">
      <c r="A37" s="6"/>
      <c r="B37" s="63"/>
      <c r="C37" t="s">
        <v>13</v>
      </c>
      <c r="D37" s="51" t="s">
        <v>16</v>
      </c>
      <c r="E37" s="54">
        <v>1340</v>
      </c>
      <c r="F37" s="51" t="s">
        <v>16</v>
      </c>
      <c r="G37" s="51">
        <v>1E-3</v>
      </c>
      <c r="H37" t="s">
        <v>242</v>
      </c>
      <c r="I37" s="7"/>
      <c r="J37" s="7"/>
      <c r="K37" s="8"/>
      <c r="L37" s="7"/>
      <c r="M37" s="40" t="s">
        <v>239</v>
      </c>
      <c r="N37" s="12" t="s">
        <v>282</v>
      </c>
      <c r="O37" s="7"/>
      <c r="P37" s="7"/>
      <c r="Q37" s="8"/>
      <c r="R37" s="6"/>
      <c r="S37" s="7"/>
      <c r="T37" s="7"/>
      <c r="U37" s="7"/>
      <c r="V37" s="7"/>
      <c r="W37" s="7"/>
      <c r="X37" s="7"/>
      <c r="Y37" s="7"/>
      <c r="Z37" s="8"/>
      <c r="AB37" s="7"/>
      <c r="AC37" s="34"/>
      <c r="AD37" s="34"/>
      <c r="AF37" s="7"/>
      <c r="AG37" s="7"/>
      <c r="AH37" s="7"/>
      <c r="AI37" s="8"/>
    </row>
    <row r="38" spans="1:35" x14ac:dyDescent="0.2">
      <c r="A38" s="6"/>
      <c r="B38" s="63"/>
      <c r="C38" t="s">
        <v>268</v>
      </c>
      <c r="D38" s="51" t="s">
        <v>16</v>
      </c>
      <c r="E38" s="54">
        <v>1480</v>
      </c>
      <c r="F38" s="51" t="s">
        <v>16</v>
      </c>
      <c r="G38" s="51">
        <v>0</v>
      </c>
      <c r="I38" s="7"/>
      <c r="J38" s="7"/>
      <c r="K38" s="8"/>
      <c r="L38" s="7"/>
      <c r="M38" s="40" t="s">
        <v>240</v>
      </c>
      <c r="N38" s="12">
        <f>N31</f>
        <v>4</v>
      </c>
      <c r="O38" s="7"/>
      <c r="P38" s="7"/>
      <c r="Q38" s="8"/>
      <c r="R38" s="6"/>
      <c r="S38" s="7"/>
      <c r="T38" s="7"/>
      <c r="U38" s="7"/>
      <c r="V38" s="7"/>
      <c r="W38" s="7"/>
      <c r="X38" s="7"/>
      <c r="Y38" s="7"/>
      <c r="Z38" s="8"/>
      <c r="AB38" s="7"/>
      <c r="AC38" s="34"/>
      <c r="AD38" s="34"/>
      <c r="AF38" s="7"/>
      <c r="AG38" s="7"/>
      <c r="AH38" s="7"/>
      <c r="AI38" s="8"/>
    </row>
    <row r="39" spans="1:35" ht="16" customHeight="1" x14ac:dyDescent="0.2">
      <c r="A39" s="6"/>
      <c r="B39" s="63"/>
      <c r="C39" t="s">
        <v>217</v>
      </c>
      <c r="D39" s="51" t="s">
        <v>16</v>
      </c>
      <c r="E39" s="54">
        <v>1600</v>
      </c>
      <c r="F39" s="51" t="s">
        <v>16</v>
      </c>
      <c r="G39" s="51">
        <v>1.4E-2</v>
      </c>
      <c r="I39" s="7"/>
      <c r="J39" s="7"/>
      <c r="K39" s="8"/>
      <c r="L39" s="23"/>
      <c r="M39" s="9"/>
      <c r="N39" s="9"/>
      <c r="O39" s="9"/>
      <c r="P39" s="9"/>
      <c r="Q39" s="10"/>
      <c r="R39" s="6"/>
      <c r="S39" s="7"/>
      <c r="T39" s="7"/>
      <c r="U39" s="7"/>
      <c r="V39" s="7"/>
      <c r="W39" s="7"/>
      <c r="X39" s="7"/>
      <c r="Y39" s="7"/>
      <c r="Z39" s="8"/>
      <c r="AA39" s="21" t="s">
        <v>186</v>
      </c>
      <c r="AB39" s="34">
        <v>480</v>
      </c>
      <c r="AC39" s="35" t="s">
        <v>225</v>
      </c>
      <c r="AD39" s="7"/>
      <c r="AE39" s="7"/>
      <c r="AF39" s="7"/>
      <c r="AG39" s="7"/>
      <c r="AH39" s="7"/>
      <c r="AI39" s="8"/>
    </row>
    <row r="40" spans="1:35" x14ac:dyDescent="0.2">
      <c r="A40" s="6"/>
      <c r="B40" s="63" t="s">
        <v>21</v>
      </c>
      <c r="C40" t="s">
        <v>14</v>
      </c>
      <c r="D40" s="51" t="s">
        <v>16</v>
      </c>
      <c r="E40" s="54">
        <v>2370</v>
      </c>
      <c r="F40" s="51" t="s">
        <v>16</v>
      </c>
      <c r="G40" s="51">
        <v>1.4999999999999999E-2</v>
      </c>
      <c r="I40" s="7"/>
      <c r="J40" s="7"/>
      <c r="K40" s="8"/>
      <c r="L40" s="7"/>
      <c r="M40" s="7"/>
      <c r="N40" s="7"/>
      <c r="O40" s="7"/>
      <c r="P40" s="7"/>
      <c r="Q40" s="8"/>
      <c r="R40" s="26"/>
      <c r="S40" s="4"/>
      <c r="T40" s="4"/>
      <c r="U40" s="4"/>
      <c r="V40" s="5"/>
      <c r="W40" s="4"/>
      <c r="X40" s="4"/>
      <c r="Y40" s="4"/>
      <c r="Z40" s="5"/>
      <c r="AA40" s="21" t="s">
        <v>223</v>
      </c>
      <c r="AB40" s="7">
        <v>241</v>
      </c>
      <c r="AC40" s="7" t="s">
        <v>224</v>
      </c>
      <c r="AD40" s="7"/>
      <c r="AE40" s="7"/>
      <c r="AF40" s="7"/>
      <c r="AG40" s="7"/>
      <c r="AH40" s="7"/>
      <c r="AI40" s="8"/>
    </row>
    <row r="41" spans="1:35" ht="19" x14ac:dyDescent="0.25">
      <c r="A41" s="6"/>
      <c r="B41" s="63"/>
      <c r="C41" t="s">
        <v>15</v>
      </c>
      <c r="D41" s="51" t="s">
        <v>16</v>
      </c>
      <c r="E41" s="54">
        <v>890</v>
      </c>
      <c r="F41" s="51" t="s">
        <v>16</v>
      </c>
      <c r="G41" s="51">
        <v>1.6E-2</v>
      </c>
      <c r="I41" s="7"/>
      <c r="J41" s="7"/>
      <c r="K41" s="8"/>
      <c r="L41" s="24" t="s">
        <v>180</v>
      </c>
      <c r="M41" s="7"/>
      <c r="N41" s="7"/>
      <c r="O41" s="7"/>
      <c r="P41" s="7"/>
      <c r="Q41" s="8"/>
      <c r="R41" s="37" t="s">
        <v>188</v>
      </c>
      <c r="S41" s="7"/>
      <c r="T41" s="7"/>
      <c r="U41" s="7"/>
      <c r="V41" s="8"/>
      <c r="Z41" s="8"/>
      <c r="AA41" s="6"/>
      <c r="AB41" s="7"/>
      <c r="AC41" s="7"/>
      <c r="AD41" s="7"/>
      <c r="AE41" s="7"/>
      <c r="AF41" s="7"/>
      <c r="AG41" s="7"/>
      <c r="AH41" s="7"/>
      <c r="AI41" s="8"/>
    </row>
    <row r="42" spans="1:35" x14ac:dyDescent="0.2">
      <c r="A42" s="6"/>
      <c r="B42" s="63"/>
      <c r="C42" t="s">
        <v>279</v>
      </c>
      <c r="D42" s="51" t="s">
        <v>16</v>
      </c>
      <c r="E42" s="54">
        <v>1201</v>
      </c>
      <c r="F42" s="51" t="s">
        <v>16</v>
      </c>
      <c r="G42" s="51">
        <v>3.2000000000000001E-2</v>
      </c>
      <c r="H42" t="s">
        <v>171</v>
      </c>
      <c r="I42" s="7"/>
      <c r="J42" s="7"/>
      <c r="K42" s="8"/>
      <c r="L42" s="7"/>
      <c r="M42" s="12" t="s">
        <v>86</v>
      </c>
      <c r="N42" s="12">
        <v>12.9</v>
      </c>
      <c r="O42" s="32" t="s">
        <v>181</v>
      </c>
      <c r="P42" s="7"/>
      <c r="Q42" s="8"/>
      <c r="R42" s="52"/>
      <c r="S42" s="52" t="s">
        <v>193</v>
      </c>
      <c r="T42" s="28" t="s">
        <v>194</v>
      </c>
      <c r="U42" s="7"/>
      <c r="V42" s="8"/>
      <c r="Z42" s="8"/>
      <c r="AA42" s="6"/>
      <c r="AB42" s="7"/>
      <c r="AC42" s="7"/>
      <c r="AD42" s="7"/>
      <c r="AE42" s="7"/>
      <c r="AF42" s="7"/>
      <c r="AG42" s="7"/>
      <c r="AH42" s="7"/>
      <c r="AI42" s="8"/>
    </row>
    <row r="43" spans="1:35" x14ac:dyDescent="0.2">
      <c r="A43" s="6"/>
      <c r="B43" s="63"/>
      <c r="C43" t="s">
        <v>280</v>
      </c>
      <c r="D43" s="51" t="s">
        <v>16</v>
      </c>
      <c r="E43" s="54">
        <v>830</v>
      </c>
      <c r="F43" s="51" t="s">
        <v>16</v>
      </c>
      <c r="G43" s="51">
        <v>0.06</v>
      </c>
      <c r="I43" s="7"/>
      <c r="J43" s="7"/>
      <c r="K43" s="8"/>
      <c r="L43" s="7"/>
      <c r="M43" s="12" t="s">
        <v>85</v>
      </c>
      <c r="N43" s="12">
        <v>1.29</v>
      </c>
      <c r="O43" s="7"/>
      <c r="P43" s="7"/>
      <c r="Q43" s="8"/>
      <c r="R43" s="38" t="s">
        <v>189</v>
      </c>
      <c r="S43" s="28" t="s">
        <v>190</v>
      </c>
      <c r="T43" s="28" t="s">
        <v>195</v>
      </c>
      <c r="U43" s="7"/>
      <c r="V43" s="8"/>
      <c r="Z43" s="8"/>
      <c r="AA43" s="6"/>
      <c r="AB43" s="7"/>
      <c r="AC43" s="7"/>
      <c r="AD43" s="7"/>
      <c r="AE43" s="7"/>
      <c r="AF43" s="7"/>
      <c r="AG43" s="7"/>
      <c r="AH43" s="7"/>
      <c r="AI43" s="8"/>
    </row>
    <row r="44" spans="1:35" x14ac:dyDescent="0.2">
      <c r="A44" s="6"/>
      <c r="F44" s="29" t="s">
        <v>208</v>
      </c>
      <c r="G44" s="42">
        <f>SUM(G25:G28)</f>
        <v>0.76200000000000001</v>
      </c>
      <c r="I44" s="7"/>
      <c r="J44" s="7"/>
      <c r="K44" s="8"/>
      <c r="L44" s="7"/>
      <c r="M44" s="12" t="s">
        <v>79</v>
      </c>
      <c r="N44" s="12">
        <v>20</v>
      </c>
      <c r="O44" s="7"/>
      <c r="P44" s="7"/>
      <c r="Q44" s="8"/>
      <c r="R44" s="38" t="s">
        <v>191</v>
      </c>
      <c r="S44" s="28" t="s">
        <v>192</v>
      </c>
      <c r="T44" s="28" t="s">
        <v>196</v>
      </c>
      <c r="U44" s="7"/>
      <c r="V44" s="8"/>
      <c r="Z44" s="8"/>
      <c r="AA44" s="6"/>
      <c r="AB44" s="7"/>
      <c r="AC44" s="7"/>
      <c r="AD44" s="7"/>
      <c r="AE44" s="7"/>
      <c r="AF44" s="7"/>
      <c r="AG44" s="7"/>
      <c r="AH44" s="7"/>
      <c r="AI44" s="8"/>
    </row>
    <row r="45" spans="1:35" x14ac:dyDescent="0.2">
      <c r="A45" s="23"/>
      <c r="B45" s="9"/>
      <c r="C45" s="9"/>
      <c r="D45" s="9"/>
      <c r="E45" s="9"/>
      <c r="F45" s="9"/>
      <c r="G45" s="9"/>
      <c r="H45" s="9"/>
      <c r="I45" s="9"/>
      <c r="J45" s="9"/>
      <c r="K45" s="10"/>
      <c r="L45" s="9"/>
      <c r="M45" s="9"/>
      <c r="N45" s="9"/>
      <c r="O45" s="9"/>
      <c r="P45" s="9"/>
      <c r="Q45" s="10"/>
      <c r="R45" s="23"/>
      <c r="S45" s="9"/>
      <c r="T45" s="9"/>
      <c r="U45" s="9"/>
      <c r="V45" s="10"/>
      <c r="W45" s="9"/>
      <c r="X45" s="9"/>
      <c r="Y45" s="9"/>
      <c r="Z45" s="10"/>
      <c r="AA45" s="23"/>
      <c r="AB45" s="9"/>
      <c r="AC45" s="9"/>
      <c r="AD45" s="9"/>
      <c r="AE45" s="9"/>
      <c r="AF45" s="9"/>
      <c r="AG45" s="9"/>
      <c r="AH45" s="9"/>
      <c r="AI45" s="10"/>
    </row>
    <row r="46" spans="1:35" x14ac:dyDescent="0.2">
      <c r="K46" s="5"/>
      <c r="Q46" s="5"/>
      <c r="V46" s="5"/>
      <c r="Z46" s="5"/>
      <c r="AA46" s="26"/>
      <c r="AB46" s="4"/>
      <c r="AC46" s="4"/>
      <c r="AD46" s="4"/>
      <c r="AE46" s="4"/>
      <c r="AF46" s="4"/>
      <c r="AG46" s="4"/>
      <c r="AH46" s="4"/>
      <c r="AI46" s="5"/>
    </row>
    <row r="47" spans="1:35" ht="19" x14ac:dyDescent="0.25">
      <c r="A47" s="1" t="s">
        <v>173</v>
      </c>
      <c r="K47" s="8"/>
      <c r="L47" s="1" t="s">
        <v>175</v>
      </c>
      <c r="Q47" s="8"/>
      <c r="R47" s="1" t="s">
        <v>182</v>
      </c>
      <c r="T47" s="29" t="s">
        <v>197</v>
      </c>
      <c r="U47" s="3">
        <f>SUM(T58,T70,T82)</f>
        <v>0.29999999999999993</v>
      </c>
      <c r="V47" s="8"/>
      <c r="W47" s="1" t="s">
        <v>75</v>
      </c>
      <c r="Z47" s="8"/>
      <c r="AA47" s="44" t="s">
        <v>185</v>
      </c>
      <c r="AB47" s="7"/>
      <c r="AC47" s="7"/>
      <c r="AD47" s="7"/>
      <c r="AE47" s="7"/>
      <c r="AF47" s="7"/>
      <c r="AG47" s="7"/>
      <c r="AH47" s="7"/>
      <c r="AI47" s="8"/>
    </row>
    <row r="48" spans="1:35" x14ac:dyDescent="0.2">
      <c r="B48" s="3" t="s">
        <v>5</v>
      </c>
      <c r="D48" s="29" t="s">
        <v>174</v>
      </c>
      <c r="E48" s="3">
        <f>SUM(D54,G50)</f>
        <v>0.78997796509461526</v>
      </c>
      <c r="K48" s="8"/>
      <c r="L48" s="29" t="s">
        <v>66</v>
      </c>
      <c r="Q48" s="8"/>
      <c r="R48" s="3" t="s">
        <v>78</v>
      </c>
      <c r="V48" s="8"/>
      <c r="X48" t="s">
        <v>219</v>
      </c>
      <c r="Y48">
        <f>(100000/19422.03)*100</f>
        <v>514.87923764920561</v>
      </c>
      <c r="Z48" s="8" t="s">
        <v>287</v>
      </c>
      <c r="AA48" s="6"/>
      <c r="AB48" s="7"/>
      <c r="AC48" s="7"/>
      <c r="AD48" s="7"/>
      <c r="AE48" s="7"/>
      <c r="AF48" s="7"/>
      <c r="AG48" s="7"/>
      <c r="AH48" s="7"/>
      <c r="AI48" s="8"/>
    </row>
    <row r="49" spans="1:35" x14ac:dyDescent="0.2">
      <c r="C49" t="s">
        <v>22</v>
      </c>
      <c r="D49">
        <f>N25*G25</f>
        <v>603403.4</v>
      </c>
      <c r="F49" t="s">
        <v>206</v>
      </c>
      <c r="G49">
        <v>0.3</v>
      </c>
      <c r="K49" s="8"/>
      <c r="M49" t="s">
        <v>67</v>
      </c>
      <c r="N49">
        <f>N25*G34</f>
        <v>8154.1</v>
      </c>
      <c r="Q49" s="8"/>
      <c r="V49" s="8"/>
      <c r="X49" t="s">
        <v>76</v>
      </c>
      <c r="Y49">
        <f>Y48/100/100</f>
        <v>5.1487923764920562E-2</v>
      </c>
      <c r="Z49" s="8"/>
      <c r="AA49" s="6"/>
      <c r="AB49" s="12" t="s">
        <v>5</v>
      </c>
      <c r="AC49" s="7"/>
      <c r="AD49" s="7"/>
      <c r="AE49" s="7"/>
      <c r="AF49" s="7"/>
      <c r="AG49" s="7"/>
      <c r="AH49" s="7"/>
      <c r="AI49" s="8"/>
    </row>
    <row r="50" spans="1:35" x14ac:dyDescent="0.2">
      <c r="C50" t="s">
        <v>23</v>
      </c>
      <c r="D50">
        <v>0.02</v>
      </c>
      <c r="E50" s="16" t="s">
        <v>41</v>
      </c>
      <c r="F50" t="s">
        <v>207</v>
      </c>
      <c r="G50" s="18">
        <f>G49*D54</f>
        <v>0.18230260732952658</v>
      </c>
      <c r="K50" s="8"/>
      <c r="M50" t="s">
        <v>48</v>
      </c>
      <c r="N50">
        <f>N49/E34</f>
        <v>3.4405485232067514</v>
      </c>
      <c r="Q50" s="8"/>
      <c r="S50" t="s">
        <v>204</v>
      </c>
      <c r="T50">
        <v>8</v>
      </c>
      <c r="U50" t="s">
        <v>286</v>
      </c>
      <c r="V50" s="8"/>
      <c r="X50" t="s">
        <v>77</v>
      </c>
      <c r="Y50">
        <f>1/Y49</f>
        <v>19.422029999999999</v>
      </c>
      <c r="Z50" s="8"/>
      <c r="AA50" s="6"/>
      <c r="AB50" s="7"/>
      <c r="AC50" s="7" t="s">
        <v>119</v>
      </c>
      <c r="AD50" s="13">
        <f>650*10000</f>
        <v>6500000</v>
      </c>
      <c r="AE50" s="7"/>
      <c r="AF50" s="7"/>
      <c r="AG50" s="7"/>
      <c r="AH50" s="7"/>
      <c r="AI50" s="8"/>
    </row>
    <row r="51" spans="1:35" x14ac:dyDescent="0.2">
      <c r="C51" t="s">
        <v>24</v>
      </c>
      <c r="D51">
        <v>0.3</v>
      </c>
      <c r="K51" s="8"/>
      <c r="M51" t="s">
        <v>68</v>
      </c>
      <c r="N51">
        <f>N50/X25/T24</f>
        <v>0.34439925157224738</v>
      </c>
      <c r="Q51" s="8"/>
      <c r="S51" t="s">
        <v>205</v>
      </c>
      <c r="T51">
        <f>T50*1000</f>
        <v>8000</v>
      </c>
      <c r="U51" t="s">
        <v>178</v>
      </c>
      <c r="V51" s="8"/>
      <c r="X51" t="s">
        <v>221</v>
      </c>
      <c r="Y51">
        <f>SUM(G40:G42)</f>
        <v>6.3E-2</v>
      </c>
      <c r="Z51" s="8"/>
      <c r="AA51" s="6"/>
      <c r="AB51" s="7"/>
      <c r="AC51" s="7" t="s">
        <v>111</v>
      </c>
      <c r="AD51">
        <v>0.79600000000000004</v>
      </c>
      <c r="AE51" s="7" t="s">
        <v>178</v>
      </c>
      <c r="AF51" s="7"/>
      <c r="AG51" s="7"/>
      <c r="AH51" s="7"/>
      <c r="AI51" s="8"/>
    </row>
    <row r="52" spans="1:35" x14ac:dyDescent="0.2">
      <c r="C52" t="s">
        <v>25</v>
      </c>
      <c r="D52" s="18">
        <f>F25*(1-(SUM(D50:D51)))</f>
        <v>3971879.9999999995</v>
      </c>
      <c r="K52" s="8"/>
      <c r="M52" t="s">
        <v>69</v>
      </c>
      <c r="N52">
        <f>(70*(N51*T24)^0.75)*365</f>
        <v>199570.77280099536</v>
      </c>
      <c r="Q52" s="8"/>
      <c r="S52" t="s">
        <v>203</v>
      </c>
      <c r="T52">
        <f>T51/N44</f>
        <v>400</v>
      </c>
      <c r="V52" s="8"/>
      <c r="X52" s="3" t="s">
        <v>220</v>
      </c>
      <c r="Y52" s="3">
        <f>Y51*Y50*N38</f>
        <v>4.8943515599999996</v>
      </c>
      <c r="Z52" s="8"/>
      <c r="AA52" s="6"/>
      <c r="AB52" s="7"/>
      <c r="AC52" s="7" t="s">
        <v>112</v>
      </c>
      <c r="AD52">
        <v>0.1</v>
      </c>
      <c r="AE52" s="7" t="s">
        <v>113</v>
      </c>
      <c r="AF52" s="7"/>
      <c r="AG52" s="7"/>
      <c r="AH52" s="7"/>
      <c r="AI52" s="8"/>
    </row>
    <row r="53" spans="1:35" x14ac:dyDescent="0.2">
      <c r="C53" t="s">
        <v>26</v>
      </c>
      <c r="D53" s="18">
        <f>D49/D52</f>
        <v>0.15191883944127216</v>
      </c>
      <c r="K53" s="8"/>
      <c r="M53" t="s">
        <v>124</v>
      </c>
      <c r="N53">
        <v>0.9</v>
      </c>
      <c r="O53" s="60">
        <f>SUM(N53:N54)</f>
        <v>1</v>
      </c>
      <c r="Q53" s="8"/>
      <c r="S53" t="s">
        <v>202</v>
      </c>
      <c r="T53">
        <v>551</v>
      </c>
      <c r="V53" s="8"/>
      <c r="Z53" s="8"/>
      <c r="AA53" s="6"/>
      <c r="AB53" s="7"/>
      <c r="AC53" s="7" t="s">
        <v>198</v>
      </c>
      <c r="AD53">
        <f>(AD50)*AD51*(1-AD52)/0.45</f>
        <v>10348000</v>
      </c>
      <c r="AE53" s="7" t="s">
        <v>199</v>
      </c>
      <c r="AF53" s="7"/>
      <c r="AG53" s="7"/>
      <c r="AH53" s="7"/>
      <c r="AI53" s="8"/>
    </row>
    <row r="54" spans="1:35" x14ac:dyDescent="0.2">
      <c r="C54" t="s">
        <v>27</v>
      </c>
      <c r="D54" s="18">
        <f>D53*N38</f>
        <v>0.60767535776508863</v>
      </c>
      <c r="K54" s="8"/>
      <c r="M54" t="s">
        <v>70</v>
      </c>
      <c r="N54">
        <v>0.1</v>
      </c>
      <c r="O54" s="60"/>
      <c r="Q54" s="8"/>
      <c r="S54" t="s">
        <v>80</v>
      </c>
      <c r="T54">
        <f>T53*N44/1000</f>
        <v>11.02</v>
      </c>
      <c r="V54" s="8"/>
      <c r="W54" s="23"/>
      <c r="X54" s="9"/>
      <c r="Y54" s="9"/>
      <c r="Z54" s="10"/>
      <c r="AA54" s="6"/>
      <c r="AB54" s="7"/>
      <c r="AC54" s="7" t="s">
        <v>114</v>
      </c>
      <c r="AD54">
        <v>0.23</v>
      </c>
      <c r="AE54" s="7"/>
      <c r="AF54" s="7"/>
      <c r="AG54" s="7"/>
      <c r="AH54" s="7"/>
      <c r="AI54" s="8"/>
    </row>
    <row r="55" spans="1:35" x14ac:dyDescent="0.2">
      <c r="A55" s="9"/>
      <c r="B55" s="9"/>
      <c r="C55" s="9"/>
      <c r="D55" s="9"/>
      <c r="E55" s="9"/>
      <c r="F55" s="9"/>
      <c r="G55" s="9"/>
      <c r="H55" s="9"/>
      <c r="I55" s="9"/>
      <c r="J55" s="9"/>
      <c r="K55" s="10"/>
      <c r="Q55" s="8"/>
      <c r="S55" t="s">
        <v>81</v>
      </c>
      <c r="T55">
        <f>AVERAGE(T52,T53)</f>
        <v>475.5</v>
      </c>
      <c r="V55" s="8"/>
      <c r="Z55" s="8"/>
      <c r="AA55" s="6"/>
      <c r="AB55" s="7"/>
      <c r="AC55" s="7" t="s">
        <v>200</v>
      </c>
      <c r="AD55" s="17">
        <f>AD53*(1-AD54)*(D53)</f>
        <v>1210483.235914479</v>
      </c>
      <c r="AE55" s="7"/>
      <c r="AF55" s="7"/>
      <c r="AG55" s="7"/>
      <c r="AH55" s="7"/>
      <c r="AI55" s="8"/>
    </row>
    <row r="56" spans="1:35" x14ac:dyDescent="0.2">
      <c r="K56" s="8"/>
      <c r="M56" t="s">
        <v>71</v>
      </c>
      <c r="N56">
        <f>(N54*N52)/W33</f>
        <v>5.341169609138146E-2</v>
      </c>
      <c r="Q56" s="8"/>
      <c r="S56" t="s">
        <v>82</v>
      </c>
      <c r="T56">
        <f>T55*N38</f>
        <v>1902</v>
      </c>
      <c r="V56" s="8"/>
      <c r="Z56" s="8"/>
      <c r="AA56" s="6"/>
      <c r="AB56" s="7"/>
      <c r="AC56" s="7" t="s">
        <v>201</v>
      </c>
      <c r="AD56">
        <f>AD55*N31</f>
        <v>4841932.943657916</v>
      </c>
      <c r="AE56" s="7"/>
      <c r="AF56" s="7"/>
      <c r="AG56" s="7"/>
      <c r="AH56" s="7"/>
      <c r="AI56" s="8"/>
    </row>
    <row r="57" spans="1:35" ht="19" x14ac:dyDescent="0.25">
      <c r="B57" s="3" t="s">
        <v>107</v>
      </c>
      <c r="D57" s="3" t="s">
        <v>43</v>
      </c>
      <c r="E57" s="53">
        <f>D64+(D72-G69)+(D80-G77)+G64+(D88+G83)</f>
        <v>0</v>
      </c>
      <c r="K57" s="8"/>
      <c r="M57" t="s">
        <v>72</v>
      </c>
      <c r="N57">
        <f>SUM(N55:N56)</f>
        <v>5.341169609138146E-2</v>
      </c>
      <c r="Q57" s="8"/>
      <c r="S57" t="s">
        <v>83</v>
      </c>
      <c r="T57">
        <f>T56/N43</f>
        <v>1474.4186046511627</v>
      </c>
      <c r="V57" s="8"/>
      <c r="W57" s="27"/>
      <c r="Z57" s="8"/>
      <c r="AA57" s="6"/>
      <c r="AB57" s="7"/>
      <c r="AC57" s="7"/>
      <c r="AD57" s="7"/>
      <c r="AE57" s="7"/>
      <c r="AF57" s="7"/>
      <c r="AG57" s="7"/>
      <c r="AH57" s="7"/>
      <c r="AI57" s="8"/>
    </row>
    <row r="58" spans="1:35" x14ac:dyDescent="0.2">
      <c r="C58" s="3" t="s">
        <v>318</v>
      </c>
      <c r="K58" s="8"/>
      <c r="M58" s="3" t="s">
        <v>73</v>
      </c>
      <c r="N58" s="3">
        <f>N57*N31</f>
        <v>0.21364678436552584</v>
      </c>
      <c r="Q58" s="8"/>
      <c r="S58" t="s">
        <v>84</v>
      </c>
      <c r="T58">
        <f>T57/10000</f>
        <v>0.14744186046511626</v>
      </c>
      <c r="V58" s="8"/>
      <c r="X58" s="7"/>
      <c r="Y58" s="7"/>
      <c r="Z58" s="8"/>
      <c r="AA58" s="6"/>
      <c r="AB58" s="12" t="s">
        <v>116</v>
      </c>
      <c r="AC58" s="7"/>
      <c r="AD58" s="7"/>
      <c r="AE58" s="7"/>
      <c r="AF58" s="7"/>
      <c r="AG58" s="7"/>
      <c r="AH58" s="7"/>
      <c r="AI58" s="8"/>
    </row>
    <row r="59" spans="1:35" x14ac:dyDescent="0.2">
      <c r="C59" t="s">
        <v>22</v>
      </c>
      <c r="D59">
        <f>G28*N25</f>
        <v>0</v>
      </c>
      <c r="F59" t="s">
        <v>210</v>
      </c>
      <c r="K59" s="8"/>
      <c r="M59" s="3" t="s">
        <v>74</v>
      </c>
      <c r="N59" s="3">
        <f>N51*N31</f>
        <v>1.3775970062889895</v>
      </c>
      <c r="Q59" s="8"/>
      <c r="V59" s="8"/>
      <c r="X59" s="39"/>
      <c r="Y59" s="7"/>
      <c r="Z59" s="8"/>
      <c r="AA59" s="6"/>
      <c r="AB59" s="7"/>
      <c r="AC59" s="7" t="s">
        <v>110</v>
      </c>
      <c r="AD59" s="13">
        <f>650*10000</f>
        <v>6500000</v>
      </c>
      <c r="AE59" s="7"/>
      <c r="AF59" s="7"/>
      <c r="AH59" s="7"/>
      <c r="AI59" s="8"/>
    </row>
    <row r="60" spans="1:35" x14ac:dyDescent="0.2">
      <c r="C60" t="s">
        <v>23</v>
      </c>
      <c r="D60">
        <v>0.1</v>
      </c>
      <c r="F60" t="s">
        <v>42</v>
      </c>
      <c r="G60">
        <v>0.1</v>
      </c>
      <c r="K60" s="8"/>
      <c r="M60" s="3" t="s">
        <v>123</v>
      </c>
      <c r="N60" s="3">
        <f>N59*(N52/N51)</f>
        <v>798283.09120398143</v>
      </c>
      <c r="Q60" s="8"/>
      <c r="V60" s="8"/>
      <c r="W60" s="7"/>
      <c r="X60" s="7"/>
      <c r="Y60" s="7"/>
      <c r="Z60" s="8"/>
      <c r="AA60" s="6"/>
      <c r="AB60" s="7"/>
      <c r="AC60" s="7" t="s">
        <v>111</v>
      </c>
      <c r="AD60" s="7">
        <v>0.6</v>
      </c>
      <c r="AE60" t="s">
        <v>231</v>
      </c>
      <c r="AF60" s="7"/>
      <c r="AG60" s="7"/>
      <c r="AH60" s="7"/>
      <c r="AI60" s="8"/>
    </row>
    <row r="61" spans="1:35" x14ac:dyDescent="0.2">
      <c r="C61" t="s">
        <v>24</v>
      </c>
      <c r="D61">
        <v>0.3</v>
      </c>
      <c r="F61" t="s">
        <v>6</v>
      </c>
      <c r="G61">
        <v>0</v>
      </c>
      <c r="K61" s="8"/>
      <c r="Q61" s="8"/>
      <c r="R61" s="3" t="s">
        <v>94</v>
      </c>
      <c r="V61" s="8"/>
      <c r="X61" s="55"/>
      <c r="Y61" s="45"/>
      <c r="Z61" s="8"/>
      <c r="AA61" s="6"/>
      <c r="AB61" s="7"/>
      <c r="AC61" s="7" t="s">
        <v>112</v>
      </c>
      <c r="AD61" s="7">
        <v>0.1</v>
      </c>
      <c r="AF61" s="7"/>
      <c r="AG61" s="7"/>
      <c r="AH61" s="7"/>
      <c r="AI61" s="8"/>
    </row>
    <row r="62" spans="1:35" x14ac:dyDescent="0.2">
      <c r="C62" t="s">
        <v>25</v>
      </c>
      <c r="D62" s="18">
        <f>F28*(1-(D60+D61))</f>
        <v>2850000</v>
      </c>
      <c r="F62" t="s">
        <v>247</v>
      </c>
      <c r="G62">
        <v>0</v>
      </c>
      <c r="K62" s="8"/>
      <c r="Q62" s="8"/>
      <c r="S62" t="s">
        <v>95</v>
      </c>
      <c r="T62">
        <v>30</v>
      </c>
      <c r="U62" s="16" t="s">
        <v>178</v>
      </c>
      <c r="V62" s="8"/>
      <c r="X62" s="40"/>
      <c r="Y62" s="3"/>
      <c r="Z62" s="8"/>
      <c r="AA62" s="6"/>
      <c r="AB62" s="7"/>
      <c r="AC62" s="7" t="s">
        <v>118</v>
      </c>
      <c r="AD62">
        <f>(AD59)*AD60*(1-AD61)/0.45</f>
        <v>7800000</v>
      </c>
      <c r="AF62" s="7"/>
      <c r="AG62" s="7"/>
      <c r="AH62" s="7"/>
      <c r="AI62" s="8"/>
    </row>
    <row r="63" spans="1:35" x14ac:dyDescent="0.2">
      <c r="C63" t="s">
        <v>26</v>
      </c>
      <c r="D63" s="18">
        <f>D59/D62</f>
        <v>0</v>
      </c>
      <c r="F63" t="s">
        <v>281</v>
      </c>
      <c r="G63">
        <v>0.1</v>
      </c>
      <c r="K63" s="8"/>
      <c r="Q63" s="8"/>
      <c r="S63" t="s">
        <v>96</v>
      </c>
      <c r="T63">
        <v>1.5</v>
      </c>
      <c r="U63" s="45" t="s">
        <v>250</v>
      </c>
      <c r="V63" s="8"/>
      <c r="X63" s="11"/>
      <c r="Z63" s="8"/>
      <c r="AA63" s="6"/>
      <c r="AB63" s="7"/>
      <c r="AC63" s="7" t="s">
        <v>114</v>
      </c>
      <c r="AD63" s="7">
        <v>0.5</v>
      </c>
      <c r="AE63" t="s">
        <v>232</v>
      </c>
      <c r="AF63" s="7"/>
      <c r="AG63" s="7"/>
      <c r="AH63" s="7"/>
      <c r="AI63" s="8"/>
    </row>
    <row r="64" spans="1:35" x14ac:dyDescent="0.2">
      <c r="C64" t="s">
        <v>27</v>
      </c>
      <c r="D64" s="18">
        <f>D63*N38</f>
        <v>0</v>
      </c>
      <c r="F64" t="s">
        <v>207</v>
      </c>
      <c r="G64" s="18">
        <f>G60*D64</f>
        <v>0</v>
      </c>
      <c r="K64" s="8"/>
      <c r="L64" s="29" t="s">
        <v>176</v>
      </c>
      <c r="Q64" s="8"/>
      <c r="S64" t="s">
        <v>97</v>
      </c>
      <c r="T64">
        <f>T63*T62</f>
        <v>45</v>
      </c>
      <c r="U64" s="16"/>
      <c r="V64" s="8"/>
      <c r="Z64" s="8"/>
      <c r="AA64" s="6"/>
      <c r="AB64" s="7"/>
      <c r="AC64" s="7" t="s">
        <v>115</v>
      </c>
      <c r="AD64" s="17">
        <f>AD62*(1-AD63)*D63</f>
        <v>0</v>
      </c>
      <c r="AE64" s="7"/>
      <c r="AF64" s="7"/>
      <c r="AG64" s="7"/>
      <c r="AH64" s="7"/>
      <c r="AI64" s="8"/>
    </row>
    <row r="65" spans="3:35" x14ac:dyDescent="0.2">
      <c r="K65" s="8"/>
      <c r="L65" s="30"/>
      <c r="M65" t="s">
        <v>51</v>
      </c>
      <c r="N65">
        <f>N25*G37</f>
        <v>815.41</v>
      </c>
      <c r="Q65" s="8"/>
      <c r="S65" t="s">
        <v>98</v>
      </c>
      <c r="T65">
        <v>2</v>
      </c>
      <c r="U65" s="16" t="s">
        <v>178</v>
      </c>
      <c r="V65" s="8"/>
      <c r="Z65" s="8"/>
      <c r="AA65" s="6"/>
      <c r="AB65" s="7"/>
      <c r="AC65" s="7" t="s">
        <v>117</v>
      </c>
      <c r="AD65" s="7">
        <f>AD64*N31</f>
        <v>0</v>
      </c>
      <c r="AE65" s="7"/>
      <c r="AF65" s="7"/>
      <c r="AG65" s="7"/>
      <c r="AH65" s="7"/>
      <c r="AI65" s="8"/>
    </row>
    <row r="66" spans="3:35" x14ac:dyDescent="0.2">
      <c r="C66" s="3" t="s">
        <v>312</v>
      </c>
      <c r="K66" s="8"/>
      <c r="M66" t="s">
        <v>48</v>
      </c>
      <c r="N66">
        <f>N65/E37</f>
        <v>0.60851492537313434</v>
      </c>
      <c r="Q66" s="8"/>
      <c r="S66" t="s">
        <v>89</v>
      </c>
      <c r="T66">
        <v>4</v>
      </c>
      <c r="V66" s="8"/>
      <c r="Z66" s="8"/>
      <c r="AA66" s="6"/>
      <c r="AB66" s="7"/>
      <c r="AC66" s="7"/>
      <c r="AD66" s="7"/>
      <c r="AE66" s="7"/>
      <c r="AF66" s="7"/>
      <c r="AG66" s="7"/>
      <c r="AH66" s="7"/>
      <c r="AI66" s="8"/>
    </row>
    <row r="67" spans="3:35" x14ac:dyDescent="0.2">
      <c r="C67" t="s">
        <v>22</v>
      </c>
      <c r="D67">
        <f>G27*N25</f>
        <v>17939.02</v>
      </c>
      <c r="F67" s="59" t="s">
        <v>245</v>
      </c>
      <c r="G67" s="62">
        <v>1</v>
      </c>
      <c r="K67" s="8"/>
      <c r="M67" t="s">
        <v>54</v>
      </c>
      <c r="N67">
        <f>N66/X24/T25</f>
        <v>1.8962995031821347E-2</v>
      </c>
      <c r="Q67" s="8"/>
      <c r="S67" t="s">
        <v>99</v>
      </c>
      <c r="T67">
        <f>T66*T65*T64</f>
        <v>360</v>
      </c>
      <c r="V67" s="8"/>
      <c r="Z67" s="8"/>
      <c r="AA67" s="6"/>
      <c r="AB67" s="12" t="s">
        <v>120</v>
      </c>
      <c r="AC67" s="7"/>
      <c r="AD67" s="7"/>
      <c r="AE67" s="7"/>
      <c r="AF67" s="7"/>
      <c r="AG67" s="7"/>
      <c r="AH67" s="7"/>
      <c r="AI67" s="8"/>
    </row>
    <row r="68" spans="3:35" x14ac:dyDescent="0.2">
      <c r="C68" t="s">
        <v>23</v>
      </c>
      <c r="D68">
        <v>0.1</v>
      </c>
      <c r="F68" s="59"/>
      <c r="G68" s="62"/>
      <c r="K68" s="8"/>
      <c r="M68" t="s">
        <v>55</v>
      </c>
      <c r="N68">
        <f>(70*(N67*T25)^0.75)*365</f>
        <v>124576.45546570697</v>
      </c>
      <c r="Q68" s="8"/>
      <c r="S68" t="s">
        <v>100</v>
      </c>
      <c r="T68">
        <f>T67*N44/1000</f>
        <v>7.2</v>
      </c>
      <c r="V68" s="8"/>
      <c r="Z68" s="8"/>
      <c r="AA68" s="6"/>
      <c r="AB68" s="7"/>
      <c r="AC68" s="7" t="s">
        <v>110</v>
      </c>
      <c r="AD68" s="13">
        <f>650*10000</f>
        <v>6500000</v>
      </c>
      <c r="AE68" s="7"/>
      <c r="AF68" s="7"/>
      <c r="AG68" s="7" t="s">
        <v>222</v>
      </c>
      <c r="AH68" s="7"/>
      <c r="AI68" s="8"/>
    </row>
    <row r="69" spans="3:35" x14ac:dyDescent="0.2">
      <c r="C69" t="s">
        <v>24</v>
      </c>
      <c r="D69">
        <v>0.3</v>
      </c>
      <c r="F69" s="3" t="s">
        <v>246</v>
      </c>
      <c r="G69" s="3">
        <f>G67*D72</f>
        <v>5.3870930930930934E-2</v>
      </c>
      <c r="K69" s="8"/>
      <c r="M69" t="s">
        <v>258</v>
      </c>
      <c r="N69">
        <v>0.6</v>
      </c>
      <c r="O69" s="60">
        <f>SUM(N69:N71)</f>
        <v>1</v>
      </c>
      <c r="P69" t="s">
        <v>241</v>
      </c>
      <c r="Q69" s="8"/>
      <c r="S69" t="s">
        <v>101</v>
      </c>
      <c r="T69">
        <f>T67*N38</f>
        <v>1440</v>
      </c>
      <c r="V69" s="8"/>
      <c r="Z69" s="8"/>
      <c r="AA69" s="6"/>
      <c r="AB69" s="7"/>
      <c r="AC69" s="7" t="s">
        <v>111</v>
      </c>
      <c r="AD69" s="7">
        <v>0.59</v>
      </c>
      <c r="AE69" s="7" t="s">
        <v>226</v>
      </c>
      <c r="AF69" s="7"/>
      <c r="AG69" s="7"/>
      <c r="AH69" s="7"/>
      <c r="AI69" s="8"/>
    </row>
    <row r="70" spans="3:35" x14ac:dyDescent="0.2">
      <c r="C70" t="s">
        <v>25</v>
      </c>
      <c r="D70" s="18">
        <f>F27*(1-SUM(D68:D69))</f>
        <v>1332000</v>
      </c>
      <c r="K70" s="8"/>
      <c r="M70" t="s">
        <v>259</v>
      </c>
      <c r="N70">
        <v>0.1</v>
      </c>
      <c r="O70" s="60"/>
      <c r="Q70" s="8"/>
      <c r="S70" t="s">
        <v>102</v>
      </c>
      <c r="T70">
        <v>0</v>
      </c>
      <c r="U70" t="s">
        <v>209</v>
      </c>
      <c r="V70" s="8"/>
      <c r="Z70" s="8"/>
      <c r="AA70" s="6"/>
      <c r="AB70" s="7"/>
      <c r="AC70" s="7" t="s">
        <v>112</v>
      </c>
      <c r="AD70" s="7">
        <v>0.1</v>
      </c>
      <c r="AE70" s="7"/>
      <c r="AF70" s="7"/>
      <c r="AG70" s="7"/>
      <c r="AH70" s="7"/>
      <c r="AI70" s="8"/>
    </row>
    <row r="71" spans="3:35" x14ac:dyDescent="0.2">
      <c r="C71" t="s">
        <v>26</v>
      </c>
      <c r="D71" s="18">
        <f>D67/D70</f>
        <v>1.3467732732732733E-2</v>
      </c>
      <c r="K71" s="8"/>
      <c r="M71" t="s">
        <v>260</v>
      </c>
      <c r="N71">
        <v>0.3</v>
      </c>
      <c r="O71" s="60"/>
      <c r="Q71" s="8"/>
      <c r="V71" s="8"/>
      <c r="Z71" s="8"/>
      <c r="AA71" s="6"/>
      <c r="AB71" s="7"/>
      <c r="AC71" s="7" t="s">
        <v>118</v>
      </c>
      <c r="AD71">
        <f>(AD68)*AD69*(1-AD70)/0.45</f>
        <v>7670000</v>
      </c>
      <c r="AE71" s="7"/>
      <c r="AF71" s="7"/>
      <c r="AG71" s="7"/>
      <c r="AH71" s="7"/>
      <c r="AI71" s="8"/>
    </row>
    <row r="72" spans="3:35" x14ac:dyDescent="0.2">
      <c r="C72" t="s">
        <v>27</v>
      </c>
      <c r="D72" s="18">
        <f>D71*N38</f>
        <v>5.3870930930930934E-2</v>
      </c>
      <c r="K72" s="8"/>
      <c r="M72" t="s">
        <v>49</v>
      </c>
      <c r="N72">
        <f>N69*N68/W31</f>
        <v>7.3539820227690067E-2</v>
      </c>
      <c r="Q72" s="8"/>
      <c r="S72" s="16" t="s">
        <v>183</v>
      </c>
      <c r="V72" s="8"/>
      <c r="Z72" s="8"/>
      <c r="AA72" s="6"/>
      <c r="AB72" s="7"/>
      <c r="AC72" s="7" t="s">
        <v>114</v>
      </c>
      <c r="AD72" s="7">
        <v>0.52</v>
      </c>
      <c r="AE72" s="7" t="s">
        <v>227</v>
      </c>
      <c r="AF72" s="7"/>
      <c r="AG72" s="7"/>
      <c r="AH72" s="7"/>
      <c r="AI72" s="8"/>
    </row>
    <row r="73" spans="3:35" x14ac:dyDescent="0.2">
      <c r="K73" s="8"/>
      <c r="M73" t="s">
        <v>50</v>
      </c>
      <c r="N73">
        <f>N70*N68/W32</f>
        <v>8.2736571339381663E-3</v>
      </c>
      <c r="Q73" s="8"/>
      <c r="V73" s="8"/>
      <c r="Z73" s="8"/>
      <c r="AA73" s="6"/>
      <c r="AB73" s="7"/>
      <c r="AC73" s="7" t="s">
        <v>115</v>
      </c>
      <c r="AD73" s="17">
        <f>AD71*(1-AD72)*D71</f>
        <v>49582.804828828834</v>
      </c>
      <c r="AE73" s="7"/>
      <c r="AF73" s="7"/>
      <c r="AG73" s="7"/>
      <c r="AH73" s="7"/>
      <c r="AI73" s="8"/>
    </row>
    <row r="74" spans="3:35" x14ac:dyDescent="0.2">
      <c r="C74" s="3" t="s">
        <v>9</v>
      </c>
      <c r="F74" s="59" t="s">
        <v>248</v>
      </c>
      <c r="G74" s="60">
        <v>1</v>
      </c>
      <c r="K74" s="8"/>
      <c r="M74" t="s">
        <v>254</v>
      </c>
      <c r="N74">
        <f>SUM(N72:N73)</f>
        <v>8.1813477361628237E-2</v>
      </c>
      <c r="Q74" s="8"/>
      <c r="V74" s="8"/>
      <c r="Z74" s="8"/>
      <c r="AA74" s="6"/>
      <c r="AB74" s="7"/>
      <c r="AC74" s="7" t="s">
        <v>117</v>
      </c>
      <c r="AD74" s="7">
        <f>$N$31*AD73</f>
        <v>198331.21931531533</v>
      </c>
      <c r="AE74" s="7"/>
      <c r="AF74" s="7"/>
      <c r="AG74" s="7"/>
      <c r="AH74" s="7"/>
      <c r="AI74" s="8"/>
    </row>
    <row r="75" spans="3:35" x14ac:dyDescent="0.2">
      <c r="C75" t="s">
        <v>22</v>
      </c>
      <c r="D75">
        <f>G32*N25</f>
        <v>12231.15</v>
      </c>
      <c r="F75" s="59"/>
      <c r="G75" s="60"/>
      <c r="K75" s="8"/>
      <c r="M75" s="3" t="s">
        <v>255</v>
      </c>
      <c r="N75" s="3">
        <f>N74*N31</f>
        <v>0.32725390944651295</v>
      </c>
      <c r="Q75" s="8"/>
      <c r="R75" s="3" t="s">
        <v>184</v>
      </c>
      <c r="V75" s="8"/>
      <c r="Z75" s="8"/>
      <c r="AA75" s="6"/>
      <c r="AB75" s="7"/>
      <c r="AC75" s="7"/>
      <c r="AD75" s="7"/>
      <c r="AE75" s="7"/>
      <c r="AF75" s="7"/>
      <c r="AG75" s="7"/>
      <c r="AH75" s="7"/>
      <c r="AI75" s="8"/>
    </row>
    <row r="76" spans="3:35" x14ac:dyDescent="0.2">
      <c r="C76" t="s">
        <v>23</v>
      </c>
      <c r="D76">
        <v>0</v>
      </c>
      <c r="F76" s="59"/>
      <c r="G76" s="60"/>
      <c r="K76" s="8"/>
      <c r="M76" s="3" t="s">
        <v>256</v>
      </c>
      <c r="N76" s="3">
        <f>N67*N31</f>
        <v>7.585198012728539E-2</v>
      </c>
      <c r="Q76" s="8"/>
      <c r="S76" t="s">
        <v>87</v>
      </c>
      <c r="T76">
        <v>1.5</v>
      </c>
      <c r="U76" s="16" t="s">
        <v>178</v>
      </c>
      <c r="V76" s="8"/>
      <c r="Z76" s="8"/>
      <c r="AA76" s="6"/>
      <c r="AB76" s="12" t="s">
        <v>134</v>
      </c>
      <c r="AC76" s="7"/>
      <c r="AD76" s="7"/>
      <c r="AE76" s="7"/>
      <c r="AF76" s="7"/>
      <c r="AG76" s="7"/>
      <c r="AH76" s="7"/>
      <c r="AI76" s="8"/>
    </row>
    <row r="77" spans="3:35" x14ac:dyDescent="0.2">
      <c r="C77" t="s">
        <v>24</v>
      </c>
      <c r="D77">
        <v>0.3</v>
      </c>
      <c r="F77" t="s">
        <v>249</v>
      </c>
      <c r="G77">
        <f>G74*D80</f>
        <v>1.4205749128919861E-2</v>
      </c>
      <c r="K77" s="8"/>
      <c r="Q77" s="8"/>
      <c r="S77" t="s">
        <v>88</v>
      </c>
      <c r="T77">
        <v>82</v>
      </c>
      <c r="U77" s="16" t="s">
        <v>103</v>
      </c>
      <c r="V77" s="8"/>
      <c r="Z77" s="8"/>
      <c r="AA77" s="6"/>
      <c r="AB77" s="7"/>
      <c r="AC77" s="7" t="s">
        <v>125</v>
      </c>
      <c r="AD77">
        <f>((((40+96)/2)/1.28)/1.331)*0.67</f>
        <v>26.742111194590535</v>
      </c>
      <c r="AE77" s="7"/>
      <c r="AF77" s="7" t="s">
        <v>228</v>
      </c>
      <c r="AG77" s="7"/>
      <c r="AH77" s="7"/>
      <c r="AI77" s="8"/>
    </row>
    <row r="78" spans="3:35" x14ac:dyDescent="0.2">
      <c r="C78" t="s">
        <v>25</v>
      </c>
      <c r="D78" s="18">
        <f>F32*(1-SUM(D76:D77))</f>
        <v>3444000</v>
      </c>
      <c r="K78" s="8"/>
      <c r="M78" s="3" t="s">
        <v>243</v>
      </c>
      <c r="Q78" s="8"/>
      <c r="S78" t="s">
        <v>89</v>
      </c>
      <c r="T78">
        <v>4</v>
      </c>
      <c r="U78" s="16"/>
      <c r="V78" s="8"/>
      <c r="Z78" s="8"/>
      <c r="AA78" s="6"/>
      <c r="AB78" s="7"/>
      <c r="AC78" s="7" t="s">
        <v>126</v>
      </c>
      <c r="AD78">
        <f>((40+96)/2)</f>
        <v>68</v>
      </c>
      <c r="AE78" s="7"/>
      <c r="AF78" s="7" t="s">
        <v>229</v>
      </c>
      <c r="AG78" s="7"/>
      <c r="AH78" s="7"/>
      <c r="AI78" s="8"/>
    </row>
    <row r="79" spans="3:35" x14ac:dyDescent="0.2">
      <c r="C79" t="s">
        <v>26</v>
      </c>
      <c r="D79" s="18">
        <f>D75/D78</f>
        <v>3.5514372822299653E-3</v>
      </c>
      <c r="K79" s="8"/>
      <c r="Q79" s="8"/>
      <c r="S79" t="s">
        <v>90</v>
      </c>
      <c r="T79">
        <f>T76*T77*T78</f>
        <v>492</v>
      </c>
      <c r="U79" s="16"/>
      <c r="V79" s="8"/>
      <c r="Z79" s="8"/>
      <c r="AA79" s="6"/>
      <c r="AB79" s="7"/>
      <c r="AC79" s="7" t="s">
        <v>127</v>
      </c>
      <c r="AD79">
        <f>AD78-AD77</f>
        <v>41.257888805409465</v>
      </c>
      <c r="AE79" s="7"/>
      <c r="AF79" s="7" t="s">
        <v>230</v>
      </c>
      <c r="AG79" s="7"/>
      <c r="AH79" s="7"/>
      <c r="AI79" s="8"/>
    </row>
    <row r="80" spans="3:35" x14ac:dyDescent="0.2">
      <c r="C80" t="s">
        <v>27</v>
      </c>
      <c r="D80" s="18">
        <f>D79*N38</f>
        <v>1.4205749128919861E-2</v>
      </c>
      <c r="K80" s="8"/>
      <c r="L80" s="29" t="s">
        <v>257</v>
      </c>
      <c r="Q80" s="8"/>
      <c r="S80" t="s">
        <v>91</v>
      </c>
      <c r="T80">
        <f>T79*N44/1000</f>
        <v>9.84</v>
      </c>
      <c r="U80" s="16"/>
      <c r="V80" s="8"/>
      <c r="Z80" s="8"/>
      <c r="AA80" s="6"/>
      <c r="AB80" s="7"/>
      <c r="AC80" s="7" t="s">
        <v>128</v>
      </c>
      <c r="AD80">
        <f>(AD77)*E41</f>
        <v>23800.478963185575</v>
      </c>
      <c r="AE80" s="7"/>
      <c r="AF80" s="7"/>
      <c r="AG80" s="7"/>
      <c r="AH80" s="7"/>
      <c r="AI80" s="8"/>
    </row>
    <row r="81" spans="1:35" x14ac:dyDescent="0.2">
      <c r="A81" s="7"/>
      <c r="B81" s="7"/>
      <c r="C81" s="7"/>
      <c r="D81" s="7"/>
      <c r="K81" s="8"/>
      <c r="M81" t="s">
        <v>261</v>
      </c>
      <c r="N81">
        <f>N25*G38</f>
        <v>0</v>
      </c>
      <c r="Q81" s="8"/>
      <c r="S81" t="s">
        <v>92</v>
      </c>
      <c r="T81">
        <f>T79*N38</f>
        <v>1968</v>
      </c>
      <c r="U81" s="16"/>
      <c r="V81" s="8"/>
      <c r="Z81" s="8"/>
      <c r="AA81" s="6"/>
      <c r="AB81" s="7"/>
      <c r="AC81" s="7" t="s">
        <v>129</v>
      </c>
      <c r="AD81">
        <f>AD79*E41</f>
        <v>36719.521036814425</v>
      </c>
      <c r="AE81" s="7"/>
      <c r="AF81" s="7"/>
      <c r="AG81" s="7"/>
      <c r="AH81" s="7"/>
      <c r="AI81" s="8"/>
    </row>
    <row r="82" spans="1:35" x14ac:dyDescent="0.2">
      <c r="C82" s="3" t="s">
        <v>313</v>
      </c>
      <c r="K82" s="8"/>
      <c r="M82" t="s">
        <v>48</v>
      </c>
      <c r="N82">
        <f>N81/E38</f>
        <v>0</v>
      </c>
      <c r="Q82" s="8"/>
      <c r="S82" t="s">
        <v>93</v>
      </c>
      <c r="T82">
        <f>T81/N43/10000</f>
        <v>0.1525581395348837</v>
      </c>
      <c r="U82" s="16"/>
      <c r="V82" s="8"/>
      <c r="Z82" s="8"/>
      <c r="AA82" s="6"/>
      <c r="AB82" s="7"/>
      <c r="AC82" s="7" t="s">
        <v>130</v>
      </c>
      <c r="AD82">
        <f>N25*G41</f>
        <v>13046.56</v>
      </c>
      <c r="AE82" s="7"/>
      <c r="AF82" s="7"/>
      <c r="AG82" s="7"/>
      <c r="AH82" s="7"/>
      <c r="AI82" s="8"/>
    </row>
    <row r="83" spans="1:35" x14ac:dyDescent="0.2">
      <c r="C83" t="s">
        <v>22</v>
      </c>
      <c r="D83">
        <f>G26*N25</f>
        <v>0</v>
      </c>
      <c r="F83" t="s">
        <v>207</v>
      </c>
      <c r="G83" s="18">
        <f>G63*D88</f>
        <v>0</v>
      </c>
      <c r="K83" s="8"/>
      <c r="M83" t="s">
        <v>262</v>
      </c>
      <c r="N83">
        <f>N82/X26/T26</f>
        <v>0</v>
      </c>
      <c r="Q83" s="8"/>
      <c r="V83" s="8"/>
      <c r="Z83" s="8"/>
      <c r="AA83" s="6"/>
      <c r="AB83" s="7"/>
      <c r="AC83" s="7" t="s">
        <v>131</v>
      </c>
      <c r="AD83">
        <f>AD82/AD80</f>
        <v>0.54816375839243958</v>
      </c>
      <c r="AE83" s="7"/>
      <c r="AF83" s="7"/>
      <c r="AG83" s="7"/>
      <c r="AH83" s="7"/>
      <c r="AI83" s="8"/>
    </row>
    <row r="84" spans="1:35" x14ac:dyDescent="0.2">
      <c r="C84" t="s">
        <v>23</v>
      </c>
      <c r="D84">
        <v>0.1</v>
      </c>
      <c r="K84" s="8"/>
      <c r="M84" t="s">
        <v>263</v>
      </c>
      <c r="N84">
        <f>(70*(N83*T26)^0.75)*365</f>
        <v>0</v>
      </c>
      <c r="Q84" s="8"/>
      <c r="S84" s="16" t="s">
        <v>183</v>
      </c>
      <c r="V84" s="8"/>
      <c r="Z84" s="8"/>
      <c r="AA84" s="6"/>
      <c r="AB84" s="7"/>
      <c r="AC84" s="7" t="s">
        <v>132</v>
      </c>
      <c r="AD84">
        <f>AD83*N31</f>
        <v>2.1926550335697583</v>
      </c>
      <c r="AE84" s="7"/>
      <c r="AF84" s="7"/>
      <c r="AG84" s="7"/>
      <c r="AH84" s="7"/>
      <c r="AI84" s="8"/>
    </row>
    <row r="85" spans="1:35" x14ac:dyDescent="0.2">
      <c r="C85" t="s">
        <v>24</v>
      </c>
      <c r="D85">
        <v>0.3</v>
      </c>
      <c r="K85" s="8"/>
      <c r="M85" t="s">
        <v>264</v>
      </c>
      <c r="N85">
        <v>0.65</v>
      </c>
      <c r="O85" s="60">
        <f>SUM(N85:N87)</f>
        <v>1</v>
      </c>
      <c r="Q85" s="8"/>
      <c r="V85" s="8"/>
      <c r="Z85" s="8"/>
      <c r="AA85" s="6"/>
      <c r="AB85" s="7"/>
      <c r="AC85" s="7" t="s">
        <v>133</v>
      </c>
      <c r="AD85">
        <f>AD84*AD79</f>
        <v>90.464317563642453</v>
      </c>
      <c r="AE85" s="7"/>
      <c r="AF85" s="7"/>
      <c r="AG85" s="7"/>
      <c r="AH85" s="7"/>
      <c r="AI85" s="8"/>
    </row>
    <row r="86" spans="1:35" x14ac:dyDescent="0.2">
      <c r="C86" t="s">
        <v>25</v>
      </c>
      <c r="D86" s="18">
        <f>F26*(1-(D84+D85))</f>
        <v>4752000</v>
      </c>
      <c r="K86" s="8"/>
      <c r="M86" t="s">
        <v>265</v>
      </c>
      <c r="N86">
        <v>0.1</v>
      </c>
      <c r="O86" s="60"/>
      <c r="Q86" s="8"/>
      <c r="V86" s="8"/>
      <c r="Z86" s="8"/>
      <c r="AA86" s="6"/>
      <c r="AB86" s="7"/>
      <c r="AC86" s="11" t="s">
        <v>187</v>
      </c>
      <c r="AD86" s="7">
        <f>AD84*AD81</f>
        <v>80513.242631641784</v>
      </c>
      <c r="AE86" s="7"/>
      <c r="AF86" s="7"/>
      <c r="AG86" s="7"/>
      <c r="AH86" s="7"/>
      <c r="AI86" s="8"/>
    </row>
    <row r="87" spans="1:35" x14ac:dyDescent="0.2">
      <c r="C87" t="s">
        <v>26</v>
      </c>
      <c r="D87" s="18">
        <f>D83/D86</f>
        <v>0</v>
      </c>
      <c r="K87" s="8"/>
      <c r="M87" t="s">
        <v>270</v>
      </c>
      <c r="N87">
        <v>0.25</v>
      </c>
      <c r="O87" s="60"/>
      <c r="Q87" s="8"/>
      <c r="R87" s="3" t="s">
        <v>244</v>
      </c>
      <c r="V87" s="8"/>
      <c r="Z87" s="8"/>
      <c r="AA87" s="6"/>
      <c r="AB87" s="12" t="s">
        <v>137</v>
      </c>
      <c r="AC87" s="7"/>
      <c r="AD87" s="7"/>
      <c r="AE87" s="7"/>
      <c r="AF87" s="7"/>
      <c r="AG87" s="7"/>
      <c r="AH87" s="7"/>
      <c r="AI87" s="8"/>
    </row>
    <row r="88" spans="1:35" x14ac:dyDescent="0.2">
      <c r="C88" t="s">
        <v>27</v>
      </c>
      <c r="D88" s="18">
        <f>D87*N38</f>
        <v>0</v>
      </c>
      <c r="K88" s="8"/>
      <c r="M88" t="s">
        <v>49</v>
      </c>
      <c r="N88">
        <f>N84*N85/W31</f>
        <v>0</v>
      </c>
      <c r="Q88" s="8"/>
      <c r="V88" s="8"/>
      <c r="Z88" s="8"/>
      <c r="AA88" s="6"/>
      <c r="AB88" s="7"/>
      <c r="AC88" s="7" t="s">
        <v>135</v>
      </c>
      <c r="AD88">
        <v>0.9</v>
      </c>
      <c r="AE88" s="7" t="s">
        <v>233</v>
      </c>
      <c r="AF88" s="7"/>
      <c r="AG88" s="7"/>
      <c r="AH88" s="7"/>
      <c r="AI88" s="8"/>
    </row>
    <row r="89" spans="1:35" x14ac:dyDescent="0.2">
      <c r="K89" s="8"/>
      <c r="M89" t="s">
        <v>50</v>
      </c>
      <c r="N89">
        <f>N86*N84/W32</f>
        <v>0</v>
      </c>
      <c r="Q89" s="8"/>
      <c r="V89" s="8"/>
      <c r="Z89" s="8"/>
      <c r="AA89" s="6"/>
      <c r="AB89" s="7"/>
      <c r="AC89" s="7" t="s">
        <v>136</v>
      </c>
      <c r="AD89">
        <v>0.2</v>
      </c>
      <c r="AE89" s="7" t="s">
        <v>234</v>
      </c>
      <c r="AF89" s="7"/>
      <c r="AG89" s="7"/>
      <c r="AH89" s="7"/>
      <c r="AI89" s="8"/>
    </row>
    <row r="90" spans="1:35" x14ac:dyDescent="0.2">
      <c r="A90" s="9"/>
      <c r="B90" s="9"/>
      <c r="C90" s="9"/>
      <c r="D90" s="9"/>
      <c r="E90" s="9"/>
      <c r="F90" s="9"/>
      <c r="G90" s="9"/>
      <c r="H90" s="9"/>
      <c r="I90" s="9"/>
      <c r="J90" s="9"/>
      <c r="K90" s="10"/>
      <c r="M90" t="s">
        <v>271</v>
      </c>
      <c r="N90">
        <f>N87*N84/W33</f>
        <v>0</v>
      </c>
      <c r="Q90" s="8"/>
      <c r="V90" s="8"/>
      <c r="Z90" s="8"/>
      <c r="AA90" s="6"/>
      <c r="AB90" s="7"/>
      <c r="AC90" s="7" t="s">
        <v>143</v>
      </c>
      <c r="AD90">
        <f>(1-AD88)*AD89</f>
        <v>1.9999999999999997E-2</v>
      </c>
      <c r="AE90" s="7"/>
      <c r="AF90" s="7"/>
      <c r="AG90" s="7"/>
      <c r="AH90" s="7"/>
      <c r="AI90" s="8"/>
    </row>
    <row r="91" spans="1:35" x14ac:dyDescent="0.2">
      <c r="K91" s="8"/>
      <c r="M91" t="s">
        <v>266</v>
      </c>
      <c r="N91">
        <f>SUM(N88:N90)</f>
        <v>0</v>
      </c>
      <c r="Q91" s="8"/>
      <c r="V91" s="8"/>
      <c r="Z91" s="8"/>
      <c r="AA91" s="6"/>
      <c r="AB91" s="7"/>
      <c r="AC91" s="7" t="s">
        <v>138</v>
      </c>
      <c r="AD91">
        <f>(AD89*AD88)*E43</f>
        <v>149.4</v>
      </c>
      <c r="AE91" s="7"/>
      <c r="AF91" s="7"/>
      <c r="AG91" s="7"/>
      <c r="AH91" s="7"/>
      <c r="AI91" s="8"/>
    </row>
    <row r="92" spans="1:35" x14ac:dyDescent="0.2">
      <c r="B92" s="3" t="s">
        <v>108</v>
      </c>
      <c r="D92" s="3" t="s">
        <v>109</v>
      </c>
      <c r="E92" s="3">
        <f>D99</f>
        <v>2.1273859094371919E-2</v>
      </c>
      <c r="K92" s="8"/>
      <c r="M92" s="3" t="s">
        <v>267</v>
      </c>
      <c r="N92">
        <f>N91*N31</f>
        <v>0</v>
      </c>
      <c r="Q92" s="8"/>
      <c r="V92" s="8"/>
      <c r="Z92" s="8"/>
      <c r="AA92" s="6"/>
      <c r="AB92" s="7"/>
      <c r="AC92" s="7" t="s">
        <v>139</v>
      </c>
      <c r="AD92">
        <f>G43*N25</f>
        <v>48924.6</v>
      </c>
      <c r="AE92" s="7"/>
      <c r="AF92" s="7"/>
      <c r="AG92" s="7"/>
      <c r="AH92" s="7"/>
      <c r="AI92" s="8"/>
    </row>
    <row r="93" spans="1:35" x14ac:dyDescent="0.2">
      <c r="B93" s="3" t="s">
        <v>311</v>
      </c>
      <c r="K93" s="8"/>
      <c r="M93" s="3" t="s">
        <v>272</v>
      </c>
      <c r="N93">
        <f>N83*N31</f>
        <v>0</v>
      </c>
      <c r="Q93" s="8"/>
      <c r="V93" s="8"/>
      <c r="Z93" s="8"/>
      <c r="AA93" s="6"/>
      <c r="AB93" s="7"/>
      <c r="AC93" s="7" t="s">
        <v>140</v>
      </c>
      <c r="AD93">
        <f>AD92/AD91</f>
        <v>327.47389558232931</v>
      </c>
      <c r="AF93" s="7"/>
      <c r="AG93" s="7"/>
      <c r="AH93" s="7"/>
      <c r="AI93" s="8"/>
    </row>
    <row r="94" spans="1:35" x14ac:dyDescent="0.2">
      <c r="C94" t="s">
        <v>22</v>
      </c>
      <c r="D94">
        <f>N25*G29</f>
        <v>20385.25</v>
      </c>
      <c r="K94" s="8"/>
      <c r="Q94" s="8"/>
      <c r="V94" s="8"/>
      <c r="Z94" s="8"/>
      <c r="AA94" s="6"/>
      <c r="AB94" s="7"/>
      <c r="AC94" s="7" t="s">
        <v>141</v>
      </c>
      <c r="AD94">
        <f>AD93*N31</f>
        <v>1309.8955823293172</v>
      </c>
      <c r="AE94" s="7" t="s">
        <v>317</v>
      </c>
      <c r="AF94" s="7"/>
      <c r="AG94" s="7"/>
      <c r="AH94" s="7"/>
      <c r="AI94" s="8"/>
    </row>
    <row r="95" spans="1:35" x14ac:dyDescent="0.2">
      <c r="C95" t="s">
        <v>23</v>
      </c>
      <c r="D95">
        <v>0</v>
      </c>
      <c r="K95" s="8"/>
      <c r="Q95" s="8"/>
      <c r="V95" s="8"/>
      <c r="Z95" s="8"/>
      <c r="AA95" s="6"/>
      <c r="AB95" s="7"/>
      <c r="AC95" s="7" t="s">
        <v>142</v>
      </c>
      <c r="AD95">
        <f>AD90*AD94</f>
        <v>26.197911646586341</v>
      </c>
      <c r="AE95" s="7"/>
      <c r="AF95" s="7"/>
      <c r="AG95" s="7"/>
      <c r="AH95" s="7"/>
      <c r="AI95" s="8"/>
    </row>
    <row r="96" spans="1:35" x14ac:dyDescent="0.2">
      <c r="C96" t="s">
        <v>24</v>
      </c>
      <c r="D96">
        <v>0.3</v>
      </c>
      <c r="K96" s="8"/>
      <c r="Q96" s="8"/>
      <c r="V96" s="8"/>
      <c r="Z96" s="8"/>
      <c r="AA96" s="6"/>
      <c r="AB96" s="7"/>
      <c r="AC96" s="7" t="s">
        <v>144</v>
      </c>
      <c r="AD96">
        <f>AD95*E42</f>
        <v>31463.691887550194</v>
      </c>
      <c r="AE96" s="7"/>
      <c r="AF96" s="7"/>
      <c r="AG96" s="7"/>
      <c r="AH96" s="7"/>
      <c r="AI96" s="8"/>
    </row>
    <row r="97" spans="3:35" x14ac:dyDescent="0.2">
      <c r="C97" t="s">
        <v>25</v>
      </c>
      <c r="D97">
        <f>F29*(1-SUM(D95:D96))</f>
        <v>3832919.9999999995</v>
      </c>
      <c r="K97" s="8"/>
      <c r="Q97" s="8"/>
      <c r="V97" s="8"/>
      <c r="Z97" s="8"/>
      <c r="AA97" s="6"/>
      <c r="AB97" s="7"/>
      <c r="AC97" s="7"/>
      <c r="AD97" s="7"/>
      <c r="AE97" s="7"/>
      <c r="AF97" s="7"/>
      <c r="AG97" s="7"/>
      <c r="AH97" s="7"/>
      <c r="AI97" s="8"/>
    </row>
    <row r="98" spans="3:35" x14ac:dyDescent="0.2">
      <c r="C98" t="s">
        <v>26</v>
      </c>
      <c r="D98">
        <f>D94/D97</f>
        <v>5.3184647735929798E-3</v>
      </c>
      <c r="K98" s="8"/>
      <c r="Q98" s="8"/>
      <c r="V98" s="8"/>
      <c r="Z98" s="8"/>
      <c r="AA98" s="6"/>
      <c r="AB98" s="12" t="s">
        <v>121</v>
      </c>
      <c r="AC98" s="7"/>
      <c r="AD98" s="7"/>
      <c r="AE98" s="7"/>
      <c r="AF98" s="7"/>
      <c r="AG98" s="7"/>
      <c r="AH98" s="7"/>
      <c r="AI98" s="8"/>
    </row>
    <row r="99" spans="3:35" x14ac:dyDescent="0.2">
      <c r="C99" t="s">
        <v>27</v>
      </c>
      <c r="D99">
        <f>D98*N38</f>
        <v>2.1273859094371919E-2</v>
      </c>
      <c r="K99" s="8"/>
      <c r="Q99" s="8"/>
      <c r="V99" s="8"/>
      <c r="Z99" s="8"/>
      <c r="AA99" s="6"/>
      <c r="AB99" s="7"/>
      <c r="AC99" s="7" t="s">
        <v>145</v>
      </c>
      <c r="AD99" s="7">
        <v>0.5</v>
      </c>
      <c r="AE99" s="7" t="s">
        <v>113</v>
      </c>
      <c r="AF99" s="7"/>
      <c r="AG99" s="7"/>
      <c r="AH99" s="7"/>
      <c r="AI99" s="8"/>
    </row>
    <row r="100" spans="3:35" x14ac:dyDescent="0.2">
      <c r="K100" s="8"/>
      <c r="Q100" s="8"/>
      <c r="V100" s="8"/>
      <c r="Z100" s="8"/>
      <c r="AA100" s="6"/>
      <c r="AB100" s="7"/>
      <c r="AC100" s="7" t="s">
        <v>146</v>
      </c>
      <c r="AD100" s="7">
        <f>AD99*365</f>
        <v>182.5</v>
      </c>
      <c r="AE100" s="7"/>
      <c r="AF100" s="7"/>
      <c r="AG100" s="7"/>
      <c r="AH100" s="7"/>
      <c r="AI100" s="8"/>
    </row>
    <row r="101" spans="3:35" x14ac:dyDescent="0.2">
      <c r="K101" s="8"/>
      <c r="Q101" s="8"/>
      <c r="V101" s="8"/>
      <c r="Z101" s="8"/>
      <c r="AA101" s="6"/>
      <c r="AB101" s="7"/>
      <c r="AC101" s="7" t="s">
        <v>148</v>
      </c>
      <c r="AD101" s="7">
        <f>V35</f>
        <v>890</v>
      </c>
      <c r="AE101" s="7"/>
      <c r="AF101" s="7"/>
      <c r="AG101" s="7"/>
      <c r="AH101" s="7"/>
      <c r="AI101" s="8"/>
    </row>
    <row r="102" spans="3:35" x14ac:dyDescent="0.2">
      <c r="K102" s="8"/>
      <c r="Q102" s="8"/>
      <c r="V102" s="8"/>
      <c r="Z102" s="8"/>
      <c r="AA102" s="6"/>
      <c r="AB102" s="7"/>
      <c r="AC102" s="7" t="s">
        <v>147</v>
      </c>
      <c r="AD102" s="7">
        <f>AD100*AD101</f>
        <v>162425</v>
      </c>
      <c r="AE102" s="7"/>
      <c r="AF102" s="7"/>
      <c r="AG102" s="7"/>
      <c r="AH102" s="7"/>
      <c r="AI102" s="8"/>
    </row>
    <row r="103" spans="3:35" x14ac:dyDescent="0.2">
      <c r="K103" s="8"/>
      <c r="Q103" s="8"/>
      <c r="V103" s="8"/>
      <c r="Z103" s="8"/>
      <c r="AA103" s="6"/>
      <c r="AB103" s="7"/>
      <c r="AC103" s="7" t="s">
        <v>150</v>
      </c>
      <c r="AD103" s="7">
        <f>AD100*N31</f>
        <v>730</v>
      </c>
      <c r="AE103" s="7"/>
      <c r="AF103" s="7"/>
      <c r="AG103" s="7"/>
      <c r="AH103" s="7"/>
      <c r="AI103" s="8"/>
    </row>
    <row r="104" spans="3:35" x14ac:dyDescent="0.2">
      <c r="K104" s="8"/>
      <c r="Q104" s="8"/>
      <c r="V104" s="8"/>
      <c r="Z104" s="8"/>
      <c r="AA104" s="6"/>
      <c r="AB104" s="7"/>
      <c r="AC104" s="7" t="s">
        <v>149</v>
      </c>
      <c r="AD104" s="7">
        <f>AD102*N38</f>
        <v>649700</v>
      </c>
      <c r="AE104" s="7"/>
      <c r="AF104" s="7"/>
      <c r="AG104" s="7"/>
      <c r="AH104" s="7"/>
      <c r="AI104" s="8"/>
    </row>
    <row r="105" spans="3:35" x14ac:dyDescent="0.2">
      <c r="K105" s="8"/>
      <c r="Q105" s="8"/>
      <c r="V105" s="8"/>
      <c r="Z105" s="8"/>
      <c r="AA105" s="6"/>
      <c r="AB105" s="7"/>
      <c r="AC105" s="7"/>
      <c r="AD105" s="7"/>
      <c r="AE105" s="7"/>
      <c r="AF105" s="7"/>
      <c r="AG105" s="7"/>
      <c r="AH105" s="7"/>
      <c r="AI105" s="8"/>
    </row>
    <row r="106" spans="3:35" x14ac:dyDescent="0.2">
      <c r="Z106" s="8"/>
      <c r="AA106" s="23"/>
      <c r="AB106" s="9"/>
      <c r="AC106" s="9"/>
      <c r="AD106" s="9"/>
      <c r="AE106" s="9"/>
      <c r="AF106" s="9"/>
      <c r="AG106" s="9"/>
      <c r="AH106" s="9"/>
      <c r="AI106" s="10"/>
    </row>
  </sheetData>
  <mergeCells count="10">
    <mergeCell ref="O69:O71"/>
    <mergeCell ref="F74:F76"/>
    <mergeCell ref="G74:G76"/>
    <mergeCell ref="O85:O87"/>
    <mergeCell ref="B25:B33"/>
    <mergeCell ref="B34:B39"/>
    <mergeCell ref="B40:B43"/>
    <mergeCell ref="O53:O54"/>
    <mergeCell ref="F67:F68"/>
    <mergeCell ref="G67:G68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4137AC-ADD9-A349-A361-3195AD336574}">
  <dimension ref="A1:AI106"/>
  <sheetViews>
    <sheetView topLeftCell="A27" workbookViewId="0">
      <selection activeCell="H41" sqref="H41"/>
    </sheetView>
  </sheetViews>
  <sheetFormatPr baseColWidth="10" defaultRowHeight="16" x14ac:dyDescent="0.2"/>
  <cols>
    <col min="1" max="1" width="13.33203125" customWidth="1"/>
    <col min="2" max="2" width="14" customWidth="1"/>
    <col min="3" max="3" width="34.6640625" customWidth="1"/>
    <col min="4" max="4" width="19" customWidth="1"/>
    <col min="6" max="6" width="15" customWidth="1"/>
    <col min="13" max="13" width="43.5" customWidth="1"/>
    <col min="18" max="18" width="14.6640625" customWidth="1"/>
    <col min="19" max="19" width="43.83203125" customWidth="1"/>
    <col min="20" max="20" width="17.5" customWidth="1"/>
    <col min="22" max="22" width="14.5" customWidth="1"/>
    <col min="23" max="23" width="23.5" customWidth="1"/>
    <col min="24" max="24" width="33" customWidth="1"/>
    <col min="27" max="27" width="22.83203125" bestFit="1" customWidth="1"/>
    <col min="28" max="28" width="13.33203125" customWidth="1"/>
    <col min="29" max="29" width="50.1640625" bestFit="1" customWidth="1"/>
    <col min="30" max="30" width="12.1640625" bestFit="1" customWidth="1"/>
    <col min="33" max="33" width="45.6640625" bestFit="1" customWidth="1"/>
  </cols>
  <sheetData>
    <row r="1" spans="1:5" ht="21" x14ac:dyDescent="0.25">
      <c r="A1" s="2" t="s">
        <v>0</v>
      </c>
    </row>
    <row r="2" spans="1:5" ht="21" x14ac:dyDescent="0.25">
      <c r="A2" s="2" t="s">
        <v>167</v>
      </c>
      <c r="B2" s="2">
        <v>1800</v>
      </c>
    </row>
    <row r="3" spans="1:5" s="9" customFormat="1" ht="21" x14ac:dyDescent="0.25">
      <c r="A3" s="19" t="s">
        <v>166</v>
      </c>
      <c r="B3" s="19" t="s">
        <v>304</v>
      </c>
    </row>
    <row r="7" spans="1:5" ht="19" x14ac:dyDescent="0.25">
      <c r="B7" s="20" t="s">
        <v>168</v>
      </c>
      <c r="C7" s="4"/>
      <c r="D7" s="4"/>
      <c r="E7" s="5"/>
    </row>
    <row r="8" spans="1:5" x14ac:dyDescent="0.2">
      <c r="B8" s="21" t="s">
        <v>169</v>
      </c>
      <c r="C8" s="12" t="s">
        <v>251</v>
      </c>
      <c r="D8" s="12" t="s">
        <v>104</v>
      </c>
      <c r="E8" s="22" t="s">
        <v>252</v>
      </c>
    </row>
    <row r="9" spans="1:5" x14ac:dyDescent="0.2">
      <c r="B9" s="6">
        <v>1</v>
      </c>
      <c r="C9" s="7" t="s">
        <v>105</v>
      </c>
      <c r="D9" s="15">
        <f>N34*(N38/N31)</f>
        <v>2.1999999999999999E-2</v>
      </c>
      <c r="E9" s="8">
        <v>1</v>
      </c>
    </row>
    <row r="10" spans="1:5" x14ac:dyDescent="0.2">
      <c r="B10" s="6">
        <v>2</v>
      </c>
      <c r="C10" s="7" t="s">
        <v>212</v>
      </c>
      <c r="D10" s="15">
        <f>E48+G69</f>
        <v>0</v>
      </c>
      <c r="E10" s="8">
        <v>2</v>
      </c>
    </row>
    <row r="11" spans="1:5" x14ac:dyDescent="0.2">
      <c r="B11" s="6">
        <v>3</v>
      </c>
      <c r="C11" s="7" t="s">
        <v>213</v>
      </c>
      <c r="D11" s="15">
        <f>E57</f>
        <v>0.77333293660818714</v>
      </c>
      <c r="E11" s="8">
        <v>3</v>
      </c>
    </row>
    <row r="12" spans="1:5" x14ac:dyDescent="0.2">
      <c r="B12" s="6">
        <v>4</v>
      </c>
      <c r="C12" s="7" t="s">
        <v>214</v>
      </c>
      <c r="D12" s="15">
        <f>D11/(1/3)-D11</f>
        <v>1.5466658732163745</v>
      </c>
      <c r="E12" s="8">
        <v>4</v>
      </c>
    </row>
    <row r="13" spans="1:5" x14ac:dyDescent="0.2">
      <c r="B13" s="6">
        <v>5</v>
      </c>
      <c r="C13" s="7" t="s">
        <v>285</v>
      </c>
      <c r="D13" s="15">
        <f>N75+N92</f>
        <v>0</v>
      </c>
      <c r="E13" s="8">
        <v>4</v>
      </c>
    </row>
    <row r="14" spans="1:5" x14ac:dyDescent="0.2">
      <c r="B14" s="6">
        <v>6</v>
      </c>
      <c r="C14" s="7" t="s">
        <v>215</v>
      </c>
      <c r="D14" s="15">
        <f>E92</f>
        <v>2.1273859094371919E-2</v>
      </c>
      <c r="E14" s="8">
        <v>5</v>
      </c>
    </row>
    <row r="15" spans="1:5" x14ac:dyDescent="0.2">
      <c r="B15" s="6">
        <v>7</v>
      </c>
      <c r="C15" s="7" t="s">
        <v>216</v>
      </c>
      <c r="D15" s="15">
        <f>U47</f>
        <v>0.29999999999999993</v>
      </c>
      <c r="E15" s="8">
        <v>5</v>
      </c>
    </row>
    <row r="16" spans="1:5" x14ac:dyDescent="0.2">
      <c r="B16" s="6">
        <v>8</v>
      </c>
      <c r="C16" s="7" t="s">
        <v>238</v>
      </c>
      <c r="D16" s="15">
        <f>N58</f>
        <v>0.12703513803246771</v>
      </c>
      <c r="E16" s="8">
        <v>6</v>
      </c>
    </row>
    <row r="17" spans="1:35" x14ac:dyDescent="0.2">
      <c r="B17" s="6">
        <v>9</v>
      </c>
      <c r="C17" s="7" t="s">
        <v>106</v>
      </c>
      <c r="D17" s="15">
        <f>Y52</f>
        <v>4.8943515599999996</v>
      </c>
      <c r="E17" s="8">
        <v>6</v>
      </c>
    </row>
    <row r="18" spans="1:35" x14ac:dyDescent="0.2">
      <c r="B18" s="6">
        <v>10</v>
      </c>
      <c r="C18" s="7" t="s">
        <v>211</v>
      </c>
      <c r="D18" s="15">
        <f>SUM(D9:D15)+D16</f>
        <v>2.7903078069514011</v>
      </c>
      <c r="E18" s="8" t="s">
        <v>16</v>
      </c>
    </row>
    <row r="19" spans="1:35" x14ac:dyDescent="0.2">
      <c r="B19" s="23">
        <v>11</v>
      </c>
      <c r="C19" s="46" t="s">
        <v>253</v>
      </c>
      <c r="D19" s="41">
        <f>SUM(D9:D17)</f>
        <v>7.6846593669514007</v>
      </c>
      <c r="E19" s="10" t="s">
        <v>16</v>
      </c>
    </row>
    <row r="21" spans="1:35" s="4" customFormat="1" x14ac:dyDescent="0.2">
      <c r="A21" s="26"/>
      <c r="K21" s="5"/>
      <c r="Q21" s="5"/>
      <c r="R21" s="26"/>
      <c r="Z21" s="5"/>
      <c r="AA21" s="26"/>
      <c r="AI21" s="5"/>
    </row>
    <row r="22" spans="1:35" ht="19" x14ac:dyDescent="0.25">
      <c r="A22" s="27" t="s">
        <v>170</v>
      </c>
      <c r="C22" s="7"/>
      <c r="D22" s="7"/>
      <c r="E22" s="7"/>
      <c r="F22" s="7"/>
      <c r="G22" s="7"/>
      <c r="H22" s="7"/>
      <c r="I22" s="7"/>
      <c r="J22" s="7"/>
      <c r="K22" s="8"/>
      <c r="L22" s="7"/>
      <c r="M22" s="7"/>
      <c r="N22" s="7"/>
      <c r="O22" s="7"/>
      <c r="P22" s="7"/>
      <c r="Q22" s="8"/>
      <c r="R22" s="6"/>
      <c r="S22" s="7"/>
      <c r="T22" s="7"/>
      <c r="U22" s="7"/>
      <c r="V22" s="7"/>
      <c r="W22" s="7"/>
      <c r="X22" s="7"/>
      <c r="Y22" s="7"/>
      <c r="Z22" s="8"/>
      <c r="AA22" s="6"/>
      <c r="AB22" s="7"/>
      <c r="AC22" s="7"/>
      <c r="AD22" s="7"/>
      <c r="AE22" s="7"/>
      <c r="AF22" s="7"/>
      <c r="AG22" s="7"/>
      <c r="AH22" s="7"/>
      <c r="AI22" s="8"/>
    </row>
    <row r="23" spans="1:35" ht="19" x14ac:dyDescent="0.25">
      <c r="A23" s="24" t="s">
        <v>28</v>
      </c>
      <c r="C23" s="7"/>
      <c r="D23" s="7"/>
      <c r="E23" s="7"/>
      <c r="F23" s="7"/>
      <c r="G23" s="7"/>
      <c r="H23" s="7"/>
      <c r="I23" s="7"/>
      <c r="J23" s="7"/>
      <c r="K23" s="8"/>
      <c r="L23" s="24" t="s">
        <v>31</v>
      </c>
      <c r="N23" s="7"/>
      <c r="O23" s="7"/>
      <c r="P23" s="7"/>
      <c r="Q23" s="8"/>
      <c r="R23" s="31" t="s">
        <v>45</v>
      </c>
      <c r="S23" s="7"/>
      <c r="T23" s="7"/>
      <c r="U23" s="7"/>
      <c r="V23" s="7"/>
      <c r="W23" s="7"/>
      <c r="X23" s="7"/>
      <c r="Y23" s="7"/>
      <c r="Z23" s="8"/>
      <c r="AA23" s="31" t="s">
        <v>152</v>
      </c>
      <c r="AB23" s="7"/>
      <c r="AC23" s="7"/>
      <c r="AD23" s="7"/>
      <c r="AE23" s="7"/>
      <c r="AF23" s="7"/>
      <c r="AG23" s="7"/>
      <c r="AH23" s="7"/>
      <c r="AI23" s="8"/>
    </row>
    <row r="24" spans="1:35" ht="34" x14ac:dyDescent="0.2">
      <c r="A24" s="6"/>
      <c r="B24" s="51"/>
      <c r="C24" s="51" t="s">
        <v>1</v>
      </c>
      <c r="D24" s="51" t="s">
        <v>2</v>
      </c>
      <c r="E24" s="47" t="s">
        <v>3</v>
      </c>
      <c r="F24" s="47" t="s">
        <v>4</v>
      </c>
      <c r="G24" s="48" t="s">
        <v>44</v>
      </c>
      <c r="H24" t="s">
        <v>18</v>
      </c>
      <c r="I24" s="7"/>
      <c r="J24" s="7"/>
      <c r="K24" s="8"/>
      <c r="L24" s="7"/>
      <c r="M24" s="7" t="s">
        <v>29</v>
      </c>
      <c r="N24" s="7">
        <v>2234</v>
      </c>
      <c r="O24" s="7" t="s">
        <v>172</v>
      </c>
      <c r="P24" s="7"/>
      <c r="Q24" s="8"/>
      <c r="R24" s="6"/>
      <c r="S24" s="33" t="s">
        <v>47</v>
      </c>
      <c r="T24" s="28">
        <v>45</v>
      </c>
      <c r="U24" s="7"/>
      <c r="V24" s="7"/>
      <c r="W24" s="14" t="s">
        <v>52</v>
      </c>
      <c r="X24" s="28">
        <v>7.3599999999999999E-2</v>
      </c>
      <c r="Y24" s="7" t="s">
        <v>274</v>
      </c>
      <c r="Z24" s="8"/>
      <c r="AA24" s="6"/>
      <c r="AB24" s="7"/>
      <c r="AC24" s="12" t="s">
        <v>153</v>
      </c>
      <c r="AD24" s="12" t="s">
        <v>154</v>
      </c>
      <c r="AE24" s="7"/>
      <c r="AF24" s="7"/>
      <c r="AG24" s="7" t="s">
        <v>161</v>
      </c>
      <c r="AH24" s="7">
        <f>N59</f>
        <v>0.68879850314449476</v>
      </c>
      <c r="AI24" s="8"/>
    </row>
    <row r="25" spans="1:35" ht="34" x14ac:dyDescent="0.2">
      <c r="A25" s="6"/>
      <c r="B25" s="61" t="s">
        <v>17</v>
      </c>
      <c r="C25" t="s">
        <v>5</v>
      </c>
      <c r="D25" s="51">
        <v>1650</v>
      </c>
      <c r="E25" s="54">
        <v>3540</v>
      </c>
      <c r="F25" s="49">
        <f>D25*E25</f>
        <v>5841000</v>
      </c>
      <c r="G25" s="51">
        <v>0</v>
      </c>
      <c r="H25" t="s">
        <v>307</v>
      </c>
      <c r="I25" s="7"/>
      <c r="L25" s="7"/>
      <c r="M25" s="7" t="s">
        <v>30</v>
      </c>
      <c r="N25" s="7">
        <f>N24*365</f>
        <v>815410</v>
      </c>
      <c r="O25" s="7"/>
      <c r="P25" s="7"/>
      <c r="Q25" s="8"/>
      <c r="R25" s="6"/>
      <c r="S25" s="33" t="s">
        <v>46</v>
      </c>
      <c r="T25" s="28">
        <v>436</v>
      </c>
      <c r="U25" s="32" t="s">
        <v>218</v>
      </c>
      <c r="V25" s="7"/>
      <c r="W25" s="14" t="s">
        <v>53</v>
      </c>
      <c r="X25" s="28">
        <v>0.222</v>
      </c>
      <c r="Y25" s="32" t="s">
        <v>275</v>
      </c>
      <c r="Z25" s="8"/>
      <c r="AA25" s="6"/>
      <c r="AB25" s="12" t="s">
        <v>151</v>
      </c>
      <c r="AC25" s="36">
        <f>AD56/1000</f>
        <v>0</v>
      </c>
      <c r="AD25" s="36">
        <f>AC25*$AB$39</f>
        <v>0</v>
      </c>
      <c r="AE25" s="7"/>
      <c r="AF25" s="7"/>
      <c r="AG25" s="7" t="s">
        <v>162</v>
      </c>
      <c r="AH25" s="7">
        <f>N52/N51</f>
        <v>689115.84992729966</v>
      </c>
      <c r="AI25" s="8"/>
    </row>
    <row r="26" spans="1:35" ht="34" x14ac:dyDescent="0.2">
      <c r="A26" s="6"/>
      <c r="B26" s="61"/>
      <c r="C26" t="s">
        <v>315</v>
      </c>
      <c r="D26" s="51">
        <v>6000</v>
      </c>
      <c r="E26" s="54">
        <v>1320</v>
      </c>
      <c r="F26" s="49">
        <f t="shared" ref="F26:F32" si="0">D26*E26</f>
        <v>7920000</v>
      </c>
      <c r="G26" s="51">
        <f>0.74/2+0.014</f>
        <v>0.38400000000000001</v>
      </c>
      <c r="H26" t="s">
        <v>307</v>
      </c>
      <c r="I26" s="7"/>
      <c r="J26" s="7"/>
      <c r="K26" s="8"/>
      <c r="L26" s="7"/>
      <c r="M26" s="7"/>
      <c r="N26" s="7"/>
      <c r="O26" s="7"/>
      <c r="P26" s="7"/>
      <c r="Q26" s="8"/>
      <c r="R26" s="6"/>
      <c r="S26" s="33" t="s">
        <v>269</v>
      </c>
      <c r="T26" s="28">
        <v>35</v>
      </c>
      <c r="U26" s="7"/>
      <c r="V26" s="7"/>
      <c r="W26" s="14" t="s">
        <v>273</v>
      </c>
      <c r="X26" s="28">
        <v>0.113</v>
      </c>
      <c r="Y26" s="7" t="s">
        <v>274</v>
      </c>
      <c r="Z26" s="8"/>
      <c r="AA26" s="6"/>
      <c r="AB26" s="12" t="s">
        <v>155</v>
      </c>
      <c r="AC26" s="36">
        <f>AD65/1000</f>
        <v>1713.9059873684209</v>
      </c>
      <c r="AD26" s="36">
        <f>AC26*$AB$39</f>
        <v>822674.87393684208</v>
      </c>
      <c r="AE26" s="7"/>
      <c r="AF26" s="7"/>
      <c r="AG26" s="7" t="s">
        <v>163</v>
      </c>
      <c r="AH26" s="36">
        <f>AH25*AH24</f>
        <v>474661.96592307027</v>
      </c>
      <c r="AI26" s="8"/>
    </row>
    <row r="27" spans="1:35" ht="16" customHeight="1" x14ac:dyDescent="0.2">
      <c r="A27" s="6"/>
      <c r="B27" s="61"/>
      <c r="C27" t="s">
        <v>120</v>
      </c>
      <c r="D27" s="51">
        <v>2000</v>
      </c>
      <c r="E27" s="54">
        <v>1110</v>
      </c>
      <c r="F27" s="49">
        <f t="shared" si="0"/>
        <v>2220000</v>
      </c>
      <c r="G27" s="51">
        <v>0</v>
      </c>
      <c r="I27" s="7"/>
      <c r="J27" s="7"/>
      <c r="K27" s="8"/>
      <c r="L27" s="9"/>
      <c r="M27" s="9"/>
      <c r="N27" s="9"/>
      <c r="O27" s="9"/>
      <c r="P27" s="9"/>
      <c r="Q27" s="10"/>
      <c r="R27" s="6"/>
      <c r="S27" s="7"/>
      <c r="T27" s="7"/>
      <c r="U27" s="7"/>
      <c r="V27" s="7"/>
      <c r="W27" s="7"/>
      <c r="X27" s="7"/>
      <c r="Y27" s="7"/>
      <c r="Z27" s="8"/>
      <c r="AA27" s="6"/>
      <c r="AB27" s="12" t="s">
        <v>156</v>
      </c>
      <c r="AC27" s="36">
        <f>AD74/1000</f>
        <v>0</v>
      </c>
      <c r="AD27" s="36">
        <f>AC27*AB40</f>
        <v>0</v>
      </c>
      <c r="AE27" s="7"/>
      <c r="AF27" s="7"/>
      <c r="AG27" s="7"/>
      <c r="AH27" s="7"/>
      <c r="AI27" s="8"/>
    </row>
    <row r="28" spans="1:35" x14ac:dyDescent="0.2">
      <c r="A28" s="6"/>
      <c r="B28" s="61"/>
      <c r="C28" t="s">
        <v>276</v>
      </c>
      <c r="D28" s="51">
        <v>5000</v>
      </c>
      <c r="E28" s="54">
        <v>950</v>
      </c>
      <c r="F28" s="49">
        <f t="shared" si="0"/>
        <v>4750000</v>
      </c>
      <c r="G28" s="51">
        <f>0.74/2+0.014</f>
        <v>0.38400000000000001</v>
      </c>
      <c r="H28" t="s">
        <v>307</v>
      </c>
      <c r="I28" s="7"/>
      <c r="J28" s="7"/>
      <c r="K28" s="8"/>
      <c r="L28" s="7"/>
      <c r="M28" s="7"/>
      <c r="N28" s="7"/>
      <c r="O28" s="7"/>
      <c r="P28" s="7"/>
      <c r="Q28" s="8"/>
      <c r="R28" s="6"/>
      <c r="S28" s="7"/>
      <c r="T28" s="7"/>
      <c r="Y28" s="7"/>
      <c r="Z28" s="8"/>
      <c r="AA28" s="6"/>
      <c r="AB28" s="12" t="s">
        <v>157</v>
      </c>
      <c r="AC28" s="36">
        <f>AD85</f>
        <v>90.464317563642453</v>
      </c>
      <c r="AD28" s="36">
        <f>AD86</f>
        <v>80513.242631641784</v>
      </c>
      <c r="AE28" s="7"/>
      <c r="AF28" s="7"/>
      <c r="AG28" s="7"/>
      <c r="AH28" s="7"/>
      <c r="AI28" s="8"/>
    </row>
    <row r="29" spans="1:35" ht="19" x14ac:dyDescent="0.25">
      <c r="A29" s="6"/>
      <c r="B29" s="61"/>
      <c r="C29" t="s">
        <v>311</v>
      </c>
      <c r="D29" s="51">
        <v>5070</v>
      </c>
      <c r="E29" s="54">
        <v>1080</v>
      </c>
      <c r="F29" s="49">
        <f t="shared" si="0"/>
        <v>5475600</v>
      </c>
      <c r="G29" s="51">
        <v>2.5000000000000001E-2</v>
      </c>
      <c r="I29" s="7"/>
      <c r="J29" s="7"/>
      <c r="K29" s="8"/>
      <c r="L29" s="24" t="s">
        <v>32</v>
      </c>
      <c r="N29" s="7"/>
      <c r="O29" s="7"/>
      <c r="P29" s="7"/>
      <c r="Q29" s="8"/>
      <c r="R29" s="6"/>
      <c r="S29" s="7"/>
      <c r="T29" s="7"/>
      <c r="U29" s="28" t="s">
        <v>56</v>
      </c>
      <c r="V29" s="28" t="s">
        <v>57</v>
      </c>
      <c r="W29" s="28" t="s">
        <v>58</v>
      </c>
      <c r="X29" s="7"/>
      <c r="Y29" s="7"/>
      <c r="Z29" s="8"/>
      <c r="AA29" s="6"/>
      <c r="AB29" s="12" t="s">
        <v>158</v>
      </c>
      <c r="AC29" s="36">
        <f>AD95</f>
        <v>26.197911646586341</v>
      </c>
      <c r="AD29" s="36">
        <f t="shared" ref="AD29" si="1">AC29*$AB$39</f>
        <v>12574.997590361443</v>
      </c>
      <c r="AE29" s="7"/>
      <c r="AF29" s="7"/>
      <c r="AG29" s="7" t="s">
        <v>164</v>
      </c>
      <c r="AH29" s="7" t="str">
        <f>IF(AD31&gt;AH26,"YES","NO")</f>
        <v>YES</v>
      </c>
      <c r="AI29" s="8"/>
    </row>
    <row r="30" spans="1:35" x14ac:dyDescent="0.2">
      <c r="A30" s="6"/>
      <c r="B30" s="61"/>
      <c r="C30" t="s">
        <v>7</v>
      </c>
      <c r="D30" s="49" t="s">
        <v>16</v>
      </c>
      <c r="E30" s="49" t="s">
        <v>16</v>
      </c>
      <c r="F30" s="49" t="s">
        <v>16</v>
      </c>
      <c r="G30" s="51">
        <v>0</v>
      </c>
      <c r="I30" s="7"/>
      <c r="J30" s="7"/>
      <c r="K30" s="8"/>
      <c r="L30" s="7"/>
      <c r="M30" s="12" t="s">
        <v>34</v>
      </c>
      <c r="N30" s="12" t="s">
        <v>35</v>
      </c>
      <c r="O30" s="12" t="s">
        <v>36</v>
      </c>
      <c r="P30" s="7"/>
      <c r="Q30" s="8"/>
      <c r="R30" s="6"/>
      <c r="T30" s="12"/>
      <c r="U30" s="28" t="s">
        <v>59</v>
      </c>
      <c r="V30" s="28" t="s">
        <v>60</v>
      </c>
      <c r="W30" s="28" t="s">
        <v>61</v>
      </c>
      <c r="X30" s="7" t="s">
        <v>177</v>
      </c>
      <c r="Y30" s="7"/>
      <c r="Z30" s="8"/>
      <c r="AA30" s="6"/>
      <c r="AB30" s="12" t="s">
        <v>159</v>
      </c>
      <c r="AC30" s="36">
        <f>AD103</f>
        <v>730</v>
      </c>
      <c r="AD30" s="36">
        <f>AD104</f>
        <v>649700</v>
      </c>
      <c r="AE30" s="7"/>
      <c r="AF30" s="7"/>
      <c r="AG30" s="7" t="s">
        <v>165</v>
      </c>
      <c r="AH30" s="15">
        <f>AD31/AH26</f>
        <v>3.2980588851573671</v>
      </c>
      <c r="AI30" s="8"/>
    </row>
    <row r="31" spans="1:35" x14ac:dyDescent="0.2">
      <c r="A31" s="6"/>
      <c r="B31" s="61"/>
      <c r="C31" t="s">
        <v>8</v>
      </c>
      <c r="D31" s="51" t="s">
        <v>16</v>
      </c>
      <c r="E31" s="49" t="s">
        <v>16</v>
      </c>
      <c r="F31" s="49" t="s">
        <v>16</v>
      </c>
      <c r="G31" s="51">
        <v>0</v>
      </c>
      <c r="I31" s="7"/>
      <c r="J31" s="7"/>
      <c r="K31" s="8"/>
      <c r="L31" s="7"/>
      <c r="M31" s="12" t="s">
        <v>33</v>
      </c>
      <c r="N31" s="12">
        <v>4</v>
      </c>
      <c r="O31" s="7"/>
      <c r="P31" s="7"/>
      <c r="Q31" s="8"/>
      <c r="R31" s="6"/>
      <c r="S31" s="33" t="s">
        <v>179</v>
      </c>
      <c r="T31" s="12" t="s">
        <v>62</v>
      </c>
      <c r="U31" s="7">
        <v>700</v>
      </c>
      <c r="V31" s="7">
        <v>1452</v>
      </c>
      <c r="W31" s="7">
        <f>U31*V31</f>
        <v>1016400</v>
      </c>
      <c r="X31" s="32" t="s">
        <v>178</v>
      </c>
      <c r="Y31" s="7"/>
      <c r="Z31" s="8"/>
      <c r="AA31" s="6"/>
      <c r="AB31" s="12" t="s">
        <v>160</v>
      </c>
      <c r="AC31" s="36">
        <f>SUM(AC25:AC30)</f>
        <v>2560.5682165786498</v>
      </c>
      <c r="AD31" s="36">
        <f>SUM(AD25:AD30)</f>
        <v>1565463.1141588453</v>
      </c>
      <c r="AE31" s="7"/>
      <c r="AF31" s="7"/>
      <c r="AG31" s="11" t="s">
        <v>235</v>
      </c>
      <c r="AH31" s="15">
        <f>(AD25+AD26+AD27+AD30)/AH26</f>
        <v>3.1019440773467699</v>
      </c>
      <c r="AI31" s="8"/>
    </row>
    <row r="32" spans="1:35" x14ac:dyDescent="0.2">
      <c r="A32" s="6"/>
      <c r="B32" s="61"/>
      <c r="C32" t="s">
        <v>277</v>
      </c>
      <c r="D32" s="51">
        <v>12000</v>
      </c>
      <c r="E32" s="54">
        <v>410</v>
      </c>
      <c r="F32" s="49">
        <f t="shared" si="0"/>
        <v>4920000</v>
      </c>
      <c r="G32" s="51">
        <v>1.4999999999999999E-2</v>
      </c>
      <c r="I32" s="7"/>
      <c r="J32" s="7"/>
      <c r="K32" s="8"/>
      <c r="L32" s="7"/>
      <c r="M32" s="7" t="s">
        <v>37</v>
      </c>
      <c r="N32" s="7">
        <v>284</v>
      </c>
      <c r="O32" s="7" t="s">
        <v>283</v>
      </c>
      <c r="P32" s="7"/>
      <c r="Q32" s="8"/>
      <c r="R32" s="6"/>
      <c r="S32" s="7"/>
      <c r="T32" s="12" t="s">
        <v>63</v>
      </c>
      <c r="U32" s="7">
        <v>700</v>
      </c>
      <c r="V32" s="7">
        <v>2151</v>
      </c>
      <c r="W32" s="7">
        <f>U32*V32</f>
        <v>1505700</v>
      </c>
      <c r="X32" s="32" t="s">
        <v>178</v>
      </c>
      <c r="Y32" s="7"/>
      <c r="Z32" s="8"/>
      <c r="AA32" s="6"/>
      <c r="AB32" s="7"/>
      <c r="AC32" s="7"/>
      <c r="AD32" s="7"/>
      <c r="AE32" s="7"/>
      <c r="AF32" s="7"/>
      <c r="AG32" s="11" t="s">
        <v>236</v>
      </c>
      <c r="AH32" s="15">
        <f>(SUM(AD25:AD26)+AD30)/AH26</f>
        <v>3.1019440773467699</v>
      </c>
      <c r="AI32" s="8"/>
    </row>
    <row r="33" spans="1:35" x14ac:dyDescent="0.2">
      <c r="A33" s="6"/>
      <c r="B33" s="61"/>
      <c r="C33" t="s">
        <v>278</v>
      </c>
      <c r="D33" s="49" t="s">
        <v>16</v>
      </c>
      <c r="E33" s="49" t="s">
        <v>16</v>
      </c>
      <c r="F33" s="49" t="s">
        <v>16</v>
      </c>
      <c r="G33" s="51">
        <v>3.5000000000000003E-2</v>
      </c>
      <c r="I33" s="7"/>
      <c r="J33" s="7"/>
      <c r="K33" s="8"/>
      <c r="L33" s="7"/>
      <c r="M33" s="7" t="s">
        <v>38</v>
      </c>
      <c r="N33" s="7">
        <v>4</v>
      </c>
      <c r="O33" s="7"/>
      <c r="P33" s="7"/>
      <c r="Q33" s="8"/>
      <c r="R33" s="6"/>
      <c r="S33" s="7"/>
      <c r="T33" s="12" t="s">
        <v>64</v>
      </c>
      <c r="U33" s="7"/>
      <c r="V33" s="7"/>
      <c r="W33" s="7">
        <v>373646.2</v>
      </c>
      <c r="X33" s="32" t="s">
        <v>178</v>
      </c>
      <c r="Y33" s="7"/>
      <c r="Z33" s="8"/>
      <c r="AA33" s="6"/>
      <c r="AB33" s="7"/>
      <c r="AC33" s="7"/>
      <c r="AD33" s="7"/>
      <c r="AE33" s="7"/>
      <c r="AF33" s="7"/>
      <c r="AG33" s="11" t="s">
        <v>237</v>
      </c>
      <c r="AH33" s="15">
        <f>(AD26+AD30)/AH26</f>
        <v>3.1019440773467699</v>
      </c>
      <c r="AI33" s="8"/>
    </row>
    <row r="34" spans="1:35" ht="16" customHeight="1" x14ac:dyDescent="0.2">
      <c r="A34" s="6"/>
      <c r="B34" s="63" t="s">
        <v>20</v>
      </c>
      <c r="C34" t="s">
        <v>10</v>
      </c>
      <c r="D34" s="51" t="s">
        <v>16</v>
      </c>
      <c r="E34" s="54">
        <v>2370</v>
      </c>
      <c r="F34" s="51" t="s">
        <v>16</v>
      </c>
      <c r="G34" s="51">
        <v>5.0000000000000001E-3</v>
      </c>
      <c r="H34" t="s">
        <v>308</v>
      </c>
      <c r="I34" s="7"/>
      <c r="J34" s="7"/>
      <c r="K34" s="8"/>
      <c r="L34" s="7"/>
      <c r="M34" s="12" t="s">
        <v>40</v>
      </c>
      <c r="N34" s="12">
        <f>4*0.0055</f>
        <v>2.1999999999999999E-2</v>
      </c>
      <c r="O34" s="7" t="s">
        <v>284</v>
      </c>
      <c r="P34" s="7"/>
      <c r="Q34" s="8"/>
      <c r="R34" s="6"/>
      <c r="S34" s="7"/>
      <c r="T34" s="12" t="s">
        <v>65</v>
      </c>
      <c r="U34" s="7">
        <f>N31*3</f>
        <v>12</v>
      </c>
      <c r="V34" s="7">
        <v>1122</v>
      </c>
      <c r="W34" s="7">
        <f>U34*V34</f>
        <v>13464</v>
      </c>
      <c r="X34" s="32" t="s">
        <v>178</v>
      </c>
      <c r="Y34" s="7"/>
      <c r="Z34" s="8"/>
      <c r="AA34" s="6"/>
      <c r="AB34" s="7"/>
      <c r="AC34" s="7"/>
      <c r="AD34" s="7"/>
      <c r="AE34" s="7"/>
      <c r="AF34" s="7"/>
      <c r="AG34" s="7"/>
      <c r="AH34" s="7"/>
      <c r="AI34" s="8"/>
    </row>
    <row r="35" spans="1:35" ht="16" customHeight="1" x14ac:dyDescent="0.2">
      <c r="A35" s="6"/>
      <c r="B35" s="63"/>
      <c r="C35" t="s">
        <v>11</v>
      </c>
      <c r="D35" s="51" t="s">
        <v>16</v>
      </c>
      <c r="E35" s="54">
        <v>1730</v>
      </c>
      <c r="F35" s="51" t="s">
        <v>16</v>
      </c>
      <c r="G35" s="51">
        <v>0.01</v>
      </c>
      <c r="H35" t="s">
        <v>19</v>
      </c>
      <c r="I35" s="7"/>
      <c r="J35" s="7"/>
      <c r="K35" s="8"/>
      <c r="L35" s="7"/>
      <c r="M35" s="7" t="s">
        <v>39</v>
      </c>
      <c r="N35" s="7">
        <f>N34/N31</f>
        <v>5.4999999999999997E-3</v>
      </c>
      <c r="O35" s="7"/>
      <c r="P35" s="7"/>
      <c r="Q35" s="8"/>
      <c r="R35" s="6"/>
      <c r="S35" s="7"/>
      <c r="T35" s="12" t="s">
        <v>121</v>
      </c>
      <c r="U35" s="7" t="s">
        <v>122</v>
      </c>
      <c r="V35" s="7">
        <v>890</v>
      </c>
      <c r="W35" s="7" t="s">
        <v>122</v>
      </c>
      <c r="X35" s="43" t="s">
        <v>113</v>
      </c>
      <c r="Y35" s="7"/>
      <c r="Z35" s="8"/>
      <c r="AA35" s="6"/>
      <c r="AB35" s="7"/>
      <c r="AC35" s="7"/>
      <c r="AD35" s="7"/>
      <c r="AE35" s="7"/>
      <c r="AF35" s="7"/>
      <c r="AG35" s="7"/>
      <c r="AH35" s="7"/>
      <c r="AI35" s="8"/>
    </row>
    <row r="36" spans="1:35" x14ac:dyDescent="0.2">
      <c r="A36" s="6"/>
      <c r="B36" s="63"/>
      <c r="C36" t="s">
        <v>12</v>
      </c>
      <c r="D36" s="51" t="s">
        <v>16</v>
      </c>
      <c r="E36" s="54">
        <v>1201</v>
      </c>
      <c r="F36" s="51" t="s">
        <v>16</v>
      </c>
      <c r="G36" s="51">
        <v>5.0000000000000001E-3</v>
      </c>
      <c r="I36" s="7"/>
      <c r="J36" s="7"/>
      <c r="K36" s="8"/>
      <c r="L36" s="7"/>
      <c r="M36" s="7"/>
      <c r="N36" s="7"/>
      <c r="O36" s="7"/>
      <c r="P36" s="7"/>
      <c r="Q36" s="8"/>
      <c r="R36" s="6"/>
      <c r="S36" s="7"/>
      <c r="T36" s="7"/>
      <c r="U36" s="7"/>
      <c r="V36" s="7"/>
      <c r="W36" s="7"/>
      <c r="X36" s="7"/>
      <c r="Y36" s="7"/>
      <c r="Z36" s="8"/>
      <c r="AA36" s="6"/>
      <c r="AB36" s="7"/>
      <c r="AC36" s="7"/>
      <c r="AD36" s="7"/>
      <c r="AE36" s="7"/>
      <c r="AF36" s="7"/>
      <c r="AG36" s="7"/>
      <c r="AH36" s="7"/>
      <c r="AI36" s="8"/>
    </row>
    <row r="37" spans="1:35" x14ac:dyDescent="0.2">
      <c r="A37" s="6"/>
      <c r="B37" s="63"/>
      <c r="C37" t="s">
        <v>13</v>
      </c>
      <c r="D37" s="51" t="s">
        <v>16</v>
      </c>
      <c r="E37" s="54">
        <v>1340</v>
      </c>
      <c r="F37" s="51" t="s">
        <v>16</v>
      </c>
      <c r="G37" s="51">
        <v>0</v>
      </c>
      <c r="H37" t="s">
        <v>309</v>
      </c>
      <c r="I37" s="7"/>
      <c r="J37" s="7"/>
      <c r="K37" s="8"/>
      <c r="L37" s="7"/>
      <c r="M37" s="40" t="s">
        <v>239</v>
      </c>
      <c r="N37" s="12" t="s">
        <v>282</v>
      </c>
      <c r="O37" s="7"/>
      <c r="P37" s="7"/>
      <c r="Q37" s="8"/>
      <c r="R37" s="6"/>
      <c r="S37" s="7"/>
      <c r="T37" s="7"/>
      <c r="U37" s="7"/>
      <c r="V37" s="7"/>
      <c r="W37" s="7"/>
      <c r="X37" s="7"/>
      <c r="Y37" s="7"/>
      <c r="Z37" s="8"/>
      <c r="AB37" s="7"/>
      <c r="AC37" s="34"/>
      <c r="AD37" s="34"/>
      <c r="AF37" s="7"/>
      <c r="AG37" s="7"/>
      <c r="AH37" s="7"/>
      <c r="AI37" s="8"/>
    </row>
    <row r="38" spans="1:35" x14ac:dyDescent="0.2">
      <c r="A38" s="6"/>
      <c r="B38" s="63"/>
      <c r="C38" t="s">
        <v>268</v>
      </c>
      <c r="D38" s="51" t="s">
        <v>16</v>
      </c>
      <c r="E38" s="54">
        <v>1480</v>
      </c>
      <c r="F38" s="51" t="s">
        <v>16</v>
      </c>
      <c r="G38" s="51">
        <v>0</v>
      </c>
      <c r="I38" s="7"/>
      <c r="J38" s="7"/>
      <c r="K38" s="8"/>
      <c r="L38" s="7"/>
      <c r="M38" s="40" t="s">
        <v>240</v>
      </c>
      <c r="N38" s="12">
        <f>N31</f>
        <v>4</v>
      </c>
      <c r="O38" s="7"/>
      <c r="P38" s="7"/>
      <c r="Q38" s="8"/>
      <c r="R38" s="6"/>
      <c r="S38" s="7"/>
      <c r="T38" s="7"/>
      <c r="U38" s="7"/>
      <c r="V38" s="7"/>
      <c r="W38" s="7"/>
      <c r="X38" s="7"/>
      <c r="Y38" s="7"/>
      <c r="Z38" s="8"/>
      <c r="AB38" s="7"/>
      <c r="AC38" s="34"/>
      <c r="AD38" s="34"/>
      <c r="AF38" s="7"/>
      <c r="AG38" s="7"/>
      <c r="AH38" s="7"/>
      <c r="AI38" s="8"/>
    </row>
    <row r="39" spans="1:35" ht="16" customHeight="1" x14ac:dyDescent="0.2">
      <c r="A39" s="6"/>
      <c r="B39" s="63"/>
      <c r="C39" t="s">
        <v>217</v>
      </c>
      <c r="D39" s="51" t="s">
        <v>16</v>
      </c>
      <c r="E39" s="54">
        <v>1600</v>
      </c>
      <c r="F39" s="51" t="s">
        <v>16</v>
      </c>
      <c r="G39" s="51">
        <v>1.4E-2</v>
      </c>
      <c r="I39" s="7"/>
      <c r="J39" s="7"/>
      <c r="K39" s="8"/>
      <c r="L39" s="23"/>
      <c r="M39" s="9"/>
      <c r="N39" s="9"/>
      <c r="O39" s="9"/>
      <c r="P39" s="9"/>
      <c r="Q39" s="10"/>
      <c r="R39" s="6"/>
      <c r="S39" s="7"/>
      <c r="T39" s="7"/>
      <c r="U39" s="7"/>
      <c r="V39" s="7"/>
      <c r="W39" s="7"/>
      <c r="X39" s="7"/>
      <c r="Y39" s="7"/>
      <c r="Z39" s="8"/>
      <c r="AA39" s="21" t="s">
        <v>186</v>
      </c>
      <c r="AB39" s="34">
        <v>480</v>
      </c>
      <c r="AC39" s="35" t="s">
        <v>225</v>
      </c>
      <c r="AD39" s="7"/>
      <c r="AE39" s="7"/>
      <c r="AF39" s="7"/>
      <c r="AG39" s="7"/>
      <c r="AH39" s="7"/>
      <c r="AI39" s="8"/>
    </row>
    <row r="40" spans="1:35" x14ac:dyDescent="0.2">
      <c r="A40" s="6"/>
      <c r="B40" s="63" t="s">
        <v>21</v>
      </c>
      <c r="C40" t="s">
        <v>14</v>
      </c>
      <c r="D40" s="51" t="s">
        <v>16</v>
      </c>
      <c r="E40" s="54">
        <v>2370</v>
      </c>
      <c r="F40" s="51" t="s">
        <v>16</v>
      </c>
      <c r="G40" s="51">
        <v>1.4999999999999999E-2</v>
      </c>
      <c r="I40" s="7"/>
      <c r="J40" s="7"/>
      <c r="K40" s="8"/>
      <c r="L40" s="7"/>
      <c r="M40" s="7"/>
      <c r="N40" s="7"/>
      <c r="O40" s="7"/>
      <c r="P40" s="7"/>
      <c r="Q40" s="8"/>
      <c r="R40" s="26"/>
      <c r="S40" s="4"/>
      <c r="T40" s="4"/>
      <c r="U40" s="4"/>
      <c r="V40" s="5"/>
      <c r="W40" s="4"/>
      <c r="X40" s="4"/>
      <c r="Y40" s="4"/>
      <c r="Z40" s="5"/>
      <c r="AA40" s="21" t="s">
        <v>223</v>
      </c>
      <c r="AB40" s="7">
        <v>241</v>
      </c>
      <c r="AC40" s="7" t="s">
        <v>224</v>
      </c>
      <c r="AD40" s="7"/>
      <c r="AE40" s="7"/>
      <c r="AF40" s="7"/>
      <c r="AG40" s="7"/>
      <c r="AH40" s="7"/>
      <c r="AI40" s="8"/>
    </row>
    <row r="41" spans="1:35" ht="19" x14ac:dyDescent="0.25">
      <c r="A41" s="6"/>
      <c r="B41" s="63"/>
      <c r="C41" t="s">
        <v>15</v>
      </c>
      <c r="D41" s="51" t="s">
        <v>16</v>
      </c>
      <c r="E41" s="54">
        <v>890</v>
      </c>
      <c r="F41" s="51" t="s">
        <v>16</v>
      </c>
      <c r="G41" s="51">
        <v>1.6E-2</v>
      </c>
      <c r="I41" s="7"/>
      <c r="J41" s="7"/>
      <c r="K41" s="8"/>
      <c r="L41" s="24" t="s">
        <v>180</v>
      </c>
      <c r="M41" s="7"/>
      <c r="N41" s="7"/>
      <c r="O41" s="7"/>
      <c r="P41" s="7"/>
      <c r="Q41" s="8"/>
      <c r="R41" s="37" t="s">
        <v>188</v>
      </c>
      <c r="S41" s="7"/>
      <c r="T41" s="7"/>
      <c r="U41" s="7"/>
      <c r="V41" s="8"/>
      <c r="Z41" s="8"/>
      <c r="AA41" s="6"/>
      <c r="AB41" s="7"/>
      <c r="AC41" s="7"/>
      <c r="AD41" s="7"/>
      <c r="AE41" s="7"/>
      <c r="AF41" s="7"/>
      <c r="AG41" s="7"/>
      <c r="AH41" s="7"/>
      <c r="AI41" s="8"/>
    </row>
    <row r="42" spans="1:35" x14ac:dyDescent="0.2">
      <c r="A42" s="6"/>
      <c r="B42" s="63"/>
      <c r="C42" t="s">
        <v>279</v>
      </c>
      <c r="D42" s="51" t="s">
        <v>16</v>
      </c>
      <c r="E42" s="54">
        <v>1201</v>
      </c>
      <c r="F42" s="51" t="s">
        <v>16</v>
      </c>
      <c r="G42" s="51">
        <v>3.2000000000000001E-2</v>
      </c>
      <c r="H42" t="s">
        <v>171</v>
      </c>
      <c r="I42" s="7"/>
      <c r="J42" s="7"/>
      <c r="K42" s="8"/>
      <c r="L42" s="7"/>
      <c r="M42" s="12" t="s">
        <v>86</v>
      </c>
      <c r="N42" s="12">
        <v>12.9</v>
      </c>
      <c r="O42" s="32" t="s">
        <v>181</v>
      </c>
      <c r="P42" s="7"/>
      <c r="Q42" s="8"/>
      <c r="R42" s="52"/>
      <c r="S42" s="52" t="s">
        <v>193</v>
      </c>
      <c r="T42" s="28" t="s">
        <v>194</v>
      </c>
      <c r="U42" s="7"/>
      <c r="V42" s="8"/>
      <c r="Z42" s="8"/>
      <c r="AA42" s="6"/>
      <c r="AB42" s="7"/>
      <c r="AC42" s="7"/>
      <c r="AD42" s="7"/>
      <c r="AE42" s="7"/>
      <c r="AF42" s="7"/>
      <c r="AG42" s="7"/>
      <c r="AH42" s="7"/>
      <c r="AI42" s="8"/>
    </row>
    <row r="43" spans="1:35" x14ac:dyDescent="0.2">
      <c r="A43" s="6"/>
      <c r="B43" s="63"/>
      <c r="C43" t="s">
        <v>280</v>
      </c>
      <c r="D43" s="51" t="s">
        <v>16</v>
      </c>
      <c r="E43" s="54">
        <v>830</v>
      </c>
      <c r="F43" s="51" t="s">
        <v>16</v>
      </c>
      <c r="G43" s="51">
        <v>0.06</v>
      </c>
      <c r="I43" s="7"/>
      <c r="J43" s="7"/>
      <c r="K43" s="8"/>
      <c r="L43" s="7"/>
      <c r="M43" s="12" t="s">
        <v>85</v>
      </c>
      <c r="N43" s="12">
        <v>1.29</v>
      </c>
      <c r="O43" s="7"/>
      <c r="P43" s="7"/>
      <c r="Q43" s="8"/>
      <c r="R43" s="38" t="s">
        <v>189</v>
      </c>
      <c r="S43" s="28" t="s">
        <v>190</v>
      </c>
      <c r="T43" s="28" t="s">
        <v>195</v>
      </c>
      <c r="U43" s="7"/>
      <c r="V43" s="8"/>
      <c r="Z43" s="8"/>
      <c r="AA43" s="6"/>
      <c r="AB43" s="7"/>
      <c r="AC43" s="7"/>
      <c r="AD43" s="7"/>
      <c r="AE43" s="7"/>
      <c r="AF43" s="7"/>
      <c r="AG43" s="7"/>
      <c r="AH43" s="7"/>
      <c r="AI43" s="8"/>
    </row>
    <row r="44" spans="1:35" x14ac:dyDescent="0.2">
      <c r="A44" s="6"/>
      <c r="F44" s="29" t="s">
        <v>160</v>
      </c>
      <c r="G44" s="42">
        <f>SUM(G25:G43)</f>
        <v>1.0000000000000002</v>
      </c>
      <c r="I44" s="7"/>
      <c r="J44" s="7"/>
      <c r="K44" s="8"/>
      <c r="L44" s="7"/>
      <c r="M44" s="12" t="s">
        <v>79</v>
      </c>
      <c r="N44" s="12">
        <v>20</v>
      </c>
      <c r="O44" s="7"/>
      <c r="P44" s="7"/>
      <c r="Q44" s="8"/>
      <c r="R44" s="38" t="s">
        <v>191</v>
      </c>
      <c r="S44" s="28" t="s">
        <v>192</v>
      </c>
      <c r="T44" s="28" t="s">
        <v>196</v>
      </c>
      <c r="U44" s="7"/>
      <c r="V44" s="8"/>
      <c r="Z44" s="8"/>
      <c r="AA44" s="6"/>
      <c r="AB44" s="7"/>
      <c r="AC44" s="7"/>
      <c r="AD44" s="7"/>
      <c r="AE44" s="7"/>
      <c r="AF44" s="7"/>
      <c r="AG44" s="7"/>
      <c r="AH44" s="7"/>
      <c r="AI44" s="8"/>
    </row>
    <row r="45" spans="1:35" x14ac:dyDescent="0.2">
      <c r="A45" s="23"/>
      <c r="B45" s="9"/>
      <c r="C45" s="9"/>
      <c r="D45" s="9"/>
      <c r="E45" s="9"/>
      <c r="F45" s="58" t="s">
        <v>305</v>
      </c>
      <c r="G45" s="57">
        <f>SUM(G25:G28)</f>
        <v>0.76800000000000002</v>
      </c>
      <c r="H45" s="9" t="s">
        <v>306</v>
      </c>
      <c r="I45" s="9"/>
      <c r="J45" s="9"/>
      <c r="K45" s="10"/>
      <c r="L45" s="9"/>
      <c r="M45" s="9"/>
      <c r="N45" s="9"/>
      <c r="O45" s="9"/>
      <c r="P45" s="9"/>
      <c r="Q45" s="10"/>
      <c r="R45" s="23"/>
      <c r="S45" s="9"/>
      <c r="T45" s="9"/>
      <c r="U45" s="9"/>
      <c r="V45" s="10"/>
      <c r="W45" s="9"/>
      <c r="X45" s="9"/>
      <c r="Y45" s="9"/>
      <c r="Z45" s="10"/>
      <c r="AA45" s="23"/>
      <c r="AB45" s="9"/>
      <c r="AC45" s="9"/>
      <c r="AD45" s="9"/>
      <c r="AE45" s="9"/>
      <c r="AF45" s="9"/>
      <c r="AG45" s="9"/>
      <c r="AH45" s="9"/>
      <c r="AI45" s="10"/>
    </row>
    <row r="46" spans="1:35" x14ac:dyDescent="0.2">
      <c r="K46" s="5"/>
      <c r="Q46" s="5"/>
      <c r="V46" s="5"/>
      <c r="Z46" s="5"/>
      <c r="AA46" s="26"/>
      <c r="AB46" s="4"/>
      <c r="AC46" s="4"/>
      <c r="AD46" s="4"/>
      <c r="AE46" s="4"/>
      <c r="AF46" s="4"/>
      <c r="AG46" s="4"/>
      <c r="AH46" s="4"/>
      <c r="AI46" s="5"/>
    </row>
    <row r="47" spans="1:35" ht="19" x14ac:dyDescent="0.25">
      <c r="A47" s="1" t="s">
        <v>173</v>
      </c>
      <c r="K47" s="8"/>
      <c r="L47" s="1" t="s">
        <v>175</v>
      </c>
      <c r="Q47" s="8"/>
      <c r="R47" s="1" t="s">
        <v>182</v>
      </c>
      <c r="T47" s="29" t="s">
        <v>197</v>
      </c>
      <c r="U47" s="3">
        <f>SUM(T58,T70,T82)</f>
        <v>0.29999999999999993</v>
      </c>
      <c r="V47" s="8"/>
      <c r="W47" s="1" t="s">
        <v>75</v>
      </c>
      <c r="Z47" s="8"/>
      <c r="AA47" s="44" t="s">
        <v>185</v>
      </c>
      <c r="AB47" s="7"/>
      <c r="AC47" s="7"/>
      <c r="AD47" s="7"/>
      <c r="AE47" s="7"/>
      <c r="AF47" s="7"/>
      <c r="AG47" s="7"/>
      <c r="AH47" s="7"/>
      <c r="AI47" s="8"/>
    </row>
    <row r="48" spans="1:35" x14ac:dyDescent="0.2">
      <c r="B48" s="3" t="s">
        <v>5</v>
      </c>
      <c r="D48" s="29" t="s">
        <v>174</v>
      </c>
      <c r="E48" s="3">
        <f>SUM(D54,G50)</f>
        <v>0</v>
      </c>
      <c r="K48" s="8"/>
      <c r="L48" s="29" t="s">
        <v>66</v>
      </c>
      <c r="Q48" s="8"/>
      <c r="R48" s="3" t="s">
        <v>78</v>
      </c>
      <c r="V48" s="8"/>
      <c r="X48" t="s">
        <v>219</v>
      </c>
      <c r="Y48">
        <f>(100000/19422.03)*100</f>
        <v>514.87923764920561</v>
      </c>
      <c r="Z48" s="8" t="s">
        <v>287</v>
      </c>
      <c r="AA48" s="6"/>
      <c r="AB48" s="7"/>
      <c r="AC48" s="7"/>
      <c r="AD48" s="7"/>
      <c r="AE48" s="7"/>
      <c r="AF48" s="7"/>
      <c r="AG48" s="7"/>
      <c r="AH48" s="7"/>
      <c r="AI48" s="8"/>
    </row>
    <row r="49" spans="1:35" x14ac:dyDescent="0.2">
      <c r="C49" t="s">
        <v>22</v>
      </c>
      <c r="D49">
        <f>N25*G25</f>
        <v>0</v>
      </c>
      <c r="F49" t="s">
        <v>206</v>
      </c>
      <c r="G49">
        <v>0.3</v>
      </c>
      <c r="K49" s="8"/>
      <c r="M49" t="s">
        <v>67</v>
      </c>
      <c r="N49">
        <f>N25*G34</f>
        <v>4077.05</v>
      </c>
      <c r="Q49" s="8"/>
      <c r="V49" s="8"/>
      <c r="X49" t="s">
        <v>76</v>
      </c>
      <c r="Y49">
        <f>Y48/100/100</f>
        <v>5.1487923764920562E-2</v>
      </c>
      <c r="Z49" s="8"/>
      <c r="AA49" s="6"/>
      <c r="AB49" s="12" t="s">
        <v>5</v>
      </c>
      <c r="AC49" s="7"/>
      <c r="AD49" s="7"/>
      <c r="AE49" s="7"/>
      <c r="AF49" s="7"/>
      <c r="AG49" s="7"/>
      <c r="AH49" s="7"/>
      <c r="AI49" s="8"/>
    </row>
    <row r="50" spans="1:35" x14ac:dyDescent="0.2">
      <c r="C50" t="s">
        <v>23</v>
      </c>
      <c r="D50">
        <v>0.02</v>
      </c>
      <c r="E50" s="16" t="s">
        <v>41</v>
      </c>
      <c r="F50" t="s">
        <v>207</v>
      </c>
      <c r="G50" s="18">
        <f>G49*D54</f>
        <v>0</v>
      </c>
      <c r="K50" s="8"/>
      <c r="M50" t="s">
        <v>48</v>
      </c>
      <c r="N50">
        <f>N49/E34</f>
        <v>1.7202742616033757</v>
      </c>
      <c r="Q50" s="8"/>
      <c r="S50" t="s">
        <v>204</v>
      </c>
      <c r="T50">
        <v>8</v>
      </c>
      <c r="U50" t="s">
        <v>286</v>
      </c>
      <c r="V50" s="8"/>
      <c r="X50" t="s">
        <v>77</v>
      </c>
      <c r="Y50">
        <f>1/Y49</f>
        <v>19.422029999999999</v>
      </c>
      <c r="Z50" s="8"/>
      <c r="AA50" s="6"/>
      <c r="AB50" s="7"/>
      <c r="AC50" s="7" t="s">
        <v>119</v>
      </c>
      <c r="AD50" s="13">
        <f>650*10000</f>
        <v>6500000</v>
      </c>
      <c r="AE50" s="7"/>
      <c r="AF50" s="7"/>
      <c r="AG50" s="7"/>
      <c r="AH50" s="7"/>
      <c r="AI50" s="8"/>
    </row>
    <row r="51" spans="1:35" x14ac:dyDescent="0.2">
      <c r="C51" t="s">
        <v>24</v>
      </c>
      <c r="D51">
        <v>0.3</v>
      </c>
      <c r="K51" s="8"/>
      <c r="M51" t="s">
        <v>68</v>
      </c>
      <c r="N51">
        <f>N50/X25/T24</f>
        <v>0.17219962578612369</v>
      </c>
      <c r="Q51" s="8"/>
      <c r="S51" t="s">
        <v>205</v>
      </c>
      <c r="T51">
        <f>T50*1000</f>
        <v>8000</v>
      </c>
      <c r="U51" t="s">
        <v>178</v>
      </c>
      <c r="V51" s="8"/>
      <c r="X51" t="s">
        <v>221</v>
      </c>
      <c r="Y51">
        <f>SUM(G40:G42)</f>
        <v>6.3E-2</v>
      </c>
      <c r="Z51" s="8"/>
      <c r="AA51" s="6"/>
      <c r="AB51" s="7"/>
      <c r="AC51" s="7" t="s">
        <v>111</v>
      </c>
      <c r="AD51">
        <v>0.79600000000000004</v>
      </c>
      <c r="AE51" s="7" t="s">
        <v>178</v>
      </c>
      <c r="AF51" s="7"/>
      <c r="AG51" s="7"/>
      <c r="AH51" s="7"/>
      <c r="AI51" s="8"/>
    </row>
    <row r="52" spans="1:35" x14ac:dyDescent="0.2">
      <c r="C52" t="s">
        <v>25</v>
      </c>
      <c r="D52" s="18">
        <f>F25*(1-(SUM(D50:D51)))</f>
        <v>3971879.9999999995</v>
      </c>
      <c r="K52" s="8"/>
      <c r="M52" t="s">
        <v>69</v>
      </c>
      <c r="N52">
        <f>(70*(N51*T24)^0.75)*365</f>
        <v>118665.49148076758</v>
      </c>
      <c r="Q52" s="8"/>
      <c r="S52" t="s">
        <v>203</v>
      </c>
      <c r="T52">
        <f>T51/N44</f>
        <v>400</v>
      </c>
      <c r="V52" s="8"/>
      <c r="X52" s="3" t="s">
        <v>220</v>
      </c>
      <c r="Y52" s="3">
        <f>Y51*Y50*N38</f>
        <v>4.8943515599999996</v>
      </c>
      <c r="Z52" s="8"/>
      <c r="AA52" s="6"/>
      <c r="AB52" s="7"/>
      <c r="AC52" s="7" t="s">
        <v>112</v>
      </c>
      <c r="AD52">
        <v>0.1</v>
      </c>
      <c r="AE52" s="7" t="s">
        <v>113</v>
      </c>
      <c r="AF52" s="7"/>
      <c r="AG52" s="7"/>
      <c r="AH52" s="7"/>
      <c r="AI52" s="8"/>
    </row>
    <row r="53" spans="1:35" x14ac:dyDescent="0.2">
      <c r="C53" t="s">
        <v>26</v>
      </c>
      <c r="D53" s="18">
        <f>D49/D52</f>
        <v>0</v>
      </c>
      <c r="K53" s="8"/>
      <c r="M53" t="s">
        <v>124</v>
      </c>
      <c r="N53">
        <v>0.9</v>
      </c>
      <c r="O53" s="60">
        <f>SUM(N53:N54)</f>
        <v>1</v>
      </c>
      <c r="Q53" s="8"/>
      <c r="S53" t="s">
        <v>202</v>
      </c>
      <c r="T53">
        <v>551</v>
      </c>
      <c r="V53" s="8"/>
      <c r="Z53" s="8"/>
      <c r="AA53" s="6"/>
      <c r="AB53" s="7"/>
      <c r="AC53" s="7" t="s">
        <v>198</v>
      </c>
      <c r="AD53">
        <f>(AD50)*AD51*(1-AD52)/0.45</f>
        <v>10348000</v>
      </c>
      <c r="AE53" s="7" t="s">
        <v>199</v>
      </c>
      <c r="AF53" s="7"/>
      <c r="AG53" s="7"/>
      <c r="AH53" s="7"/>
      <c r="AI53" s="8"/>
    </row>
    <row r="54" spans="1:35" x14ac:dyDescent="0.2">
      <c r="C54" t="s">
        <v>27</v>
      </c>
      <c r="D54" s="18">
        <f>D53*N38</f>
        <v>0</v>
      </c>
      <c r="K54" s="8"/>
      <c r="M54" t="s">
        <v>70</v>
      </c>
      <c r="N54">
        <v>0.1</v>
      </c>
      <c r="O54" s="60"/>
      <c r="Q54" s="8"/>
      <c r="S54" t="s">
        <v>80</v>
      </c>
      <c r="T54">
        <f>T53*N44/1000</f>
        <v>11.02</v>
      </c>
      <c r="V54" s="8"/>
      <c r="W54" s="23"/>
      <c r="X54" s="9"/>
      <c r="Y54" s="9"/>
      <c r="Z54" s="10"/>
      <c r="AA54" s="6"/>
      <c r="AB54" s="7"/>
      <c r="AC54" s="7" t="s">
        <v>114</v>
      </c>
      <c r="AD54">
        <v>0.23</v>
      </c>
      <c r="AE54" s="7"/>
      <c r="AF54" s="7"/>
      <c r="AG54" s="7"/>
      <c r="AH54" s="7"/>
      <c r="AI54" s="8"/>
    </row>
    <row r="55" spans="1:35" x14ac:dyDescent="0.2">
      <c r="A55" s="9"/>
      <c r="B55" s="9"/>
      <c r="C55" s="9"/>
      <c r="D55" s="9"/>
      <c r="E55" s="9"/>
      <c r="F55" s="9"/>
      <c r="G55" s="9"/>
      <c r="H55" s="9"/>
      <c r="I55" s="9"/>
      <c r="J55" s="9"/>
      <c r="K55" s="10"/>
      <c r="Q55" s="8"/>
      <c r="S55" t="s">
        <v>81</v>
      </c>
      <c r="T55">
        <f>AVERAGE(T52,T53)</f>
        <v>475.5</v>
      </c>
      <c r="V55" s="8"/>
      <c r="Z55" s="8"/>
      <c r="AA55" s="6"/>
      <c r="AB55" s="7"/>
      <c r="AC55" s="7" t="s">
        <v>200</v>
      </c>
      <c r="AD55" s="17">
        <f>AD53*(1-AD54)*(D53)</f>
        <v>0</v>
      </c>
      <c r="AE55" s="7"/>
      <c r="AF55" s="7"/>
      <c r="AG55" s="7"/>
      <c r="AH55" s="7"/>
      <c r="AI55" s="8"/>
    </row>
    <row r="56" spans="1:35" x14ac:dyDescent="0.2">
      <c r="K56" s="8"/>
      <c r="M56" t="s">
        <v>71</v>
      </c>
      <c r="N56">
        <f>(N54*N52)/W33</f>
        <v>3.1758784508116929E-2</v>
      </c>
      <c r="Q56" s="8"/>
      <c r="S56" t="s">
        <v>82</v>
      </c>
      <c r="T56">
        <f>T55*N38</f>
        <v>1902</v>
      </c>
      <c r="V56" s="8"/>
      <c r="Z56" s="8"/>
      <c r="AA56" s="6"/>
      <c r="AB56" s="7"/>
      <c r="AC56" s="7" t="s">
        <v>201</v>
      </c>
      <c r="AD56">
        <f>AD55*N31</f>
        <v>0</v>
      </c>
      <c r="AE56" s="7"/>
      <c r="AF56" s="7"/>
      <c r="AG56" s="7"/>
      <c r="AH56" s="7"/>
      <c r="AI56" s="8"/>
    </row>
    <row r="57" spans="1:35" ht="19" x14ac:dyDescent="0.25">
      <c r="B57" s="3" t="s">
        <v>107</v>
      </c>
      <c r="D57" s="3" t="s">
        <v>43</v>
      </c>
      <c r="E57" s="53">
        <f>D64+(D72-G69)+(D80-G77)+G64+(D88+G83)</f>
        <v>0.77333293660818714</v>
      </c>
      <c r="K57" s="8"/>
      <c r="M57" t="s">
        <v>72</v>
      </c>
      <c r="N57">
        <f>SUM(N55:N56)</f>
        <v>3.1758784508116929E-2</v>
      </c>
      <c r="Q57" s="8"/>
      <c r="S57" t="s">
        <v>83</v>
      </c>
      <c r="T57">
        <f>T56/N43</f>
        <v>1474.4186046511627</v>
      </c>
      <c r="V57" s="8"/>
      <c r="W57" s="27"/>
      <c r="Z57" s="8"/>
      <c r="AA57" s="6"/>
      <c r="AB57" s="7"/>
      <c r="AC57" s="7"/>
      <c r="AD57" s="7"/>
      <c r="AE57" s="7"/>
      <c r="AF57" s="7"/>
      <c r="AG57" s="7"/>
      <c r="AH57" s="7"/>
      <c r="AI57" s="8"/>
    </row>
    <row r="58" spans="1:35" x14ac:dyDescent="0.2">
      <c r="C58" s="3" t="s">
        <v>318</v>
      </c>
      <c r="K58" s="8"/>
      <c r="M58" s="3" t="s">
        <v>73</v>
      </c>
      <c r="N58" s="3">
        <f>N57*N31</f>
        <v>0.12703513803246771</v>
      </c>
      <c r="Q58" s="8"/>
      <c r="S58" t="s">
        <v>84</v>
      </c>
      <c r="T58">
        <f>T57/10000</f>
        <v>0.14744186046511626</v>
      </c>
      <c r="V58" s="8"/>
      <c r="X58" s="7"/>
      <c r="Y58" s="7"/>
      <c r="Z58" s="8"/>
      <c r="AA58" s="6"/>
      <c r="AB58" s="12" t="s">
        <v>116</v>
      </c>
      <c r="AC58" s="7"/>
      <c r="AD58" s="7"/>
      <c r="AE58" s="7"/>
      <c r="AF58" s="7"/>
      <c r="AG58" s="7"/>
      <c r="AH58" s="7"/>
      <c r="AI58" s="8"/>
    </row>
    <row r="59" spans="1:35" x14ac:dyDescent="0.2">
      <c r="C59" t="s">
        <v>22</v>
      </c>
      <c r="D59">
        <f>G28*N25</f>
        <v>313117.44</v>
      </c>
      <c r="F59" t="s">
        <v>210</v>
      </c>
      <c r="K59" s="8"/>
      <c r="M59" s="3" t="s">
        <v>74</v>
      </c>
      <c r="N59" s="3">
        <f>N51*N31</f>
        <v>0.68879850314449476</v>
      </c>
      <c r="Q59" s="8"/>
      <c r="V59" s="8"/>
      <c r="X59" s="39"/>
      <c r="Y59" s="7"/>
      <c r="Z59" s="8"/>
      <c r="AA59" s="6"/>
      <c r="AB59" s="7"/>
      <c r="AC59" s="7" t="s">
        <v>110</v>
      </c>
      <c r="AD59" s="13">
        <f>650*10000</f>
        <v>6500000</v>
      </c>
      <c r="AE59" s="7"/>
      <c r="AF59" s="7"/>
      <c r="AH59" s="7"/>
      <c r="AI59" s="8"/>
    </row>
    <row r="60" spans="1:35" x14ac:dyDescent="0.2">
      <c r="C60" t="s">
        <v>23</v>
      </c>
      <c r="D60">
        <v>0.1</v>
      </c>
      <c r="F60" t="s">
        <v>42</v>
      </c>
      <c r="G60">
        <v>0.1</v>
      </c>
      <c r="K60" s="8"/>
      <c r="M60" s="3" t="s">
        <v>123</v>
      </c>
      <c r="N60" s="3">
        <f>N59*(N52/N51)</f>
        <v>474661.96592307027</v>
      </c>
      <c r="Q60" s="8"/>
      <c r="V60" s="8"/>
      <c r="W60" s="7"/>
      <c r="X60" s="7"/>
      <c r="Y60" s="7"/>
      <c r="Z60" s="8"/>
      <c r="AA60" s="6"/>
      <c r="AB60" s="7"/>
      <c r="AC60" s="7" t="s">
        <v>111</v>
      </c>
      <c r="AD60" s="7">
        <v>0.6</v>
      </c>
      <c r="AE60" t="s">
        <v>231</v>
      </c>
      <c r="AF60" s="7"/>
      <c r="AG60" s="7"/>
      <c r="AH60" s="7"/>
      <c r="AI60" s="8"/>
    </row>
    <row r="61" spans="1:35" x14ac:dyDescent="0.2">
      <c r="C61" t="s">
        <v>24</v>
      </c>
      <c r="D61">
        <v>0.3</v>
      </c>
      <c r="F61" t="s">
        <v>6</v>
      </c>
      <c r="G61">
        <v>0</v>
      </c>
      <c r="K61" s="8"/>
      <c r="Q61" s="8"/>
      <c r="R61" s="3" t="s">
        <v>94</v>
      </c>
      <c r="V61" s="8"/>
      <c r="X61" s="55"/>
      <c r="Y61" s="45"/>
      <c r="Z61" s="8"/>
      <c r="AA61" s="6"/>
      <c r="AB61" s="7"/>
      <c r="AC61" s="7" t="s">
        <v>112</v>
      </c>
      <c r="AD61" s="7">
        <v>0.1</v>
      </c>
      <c r="AF61" s="7"/>
      <c r="AG61" s="7"/>
      <c r="AH61" s="7"/>
      <c r="AI61" s="8"/>
    </row>
    <row r="62" spans="1:35" x14ac:dyDescent="0.2">
      <c r="C62" t="s">
        <v>25</v>
      </c>
      <c r="D62" s="18">
        <f>F28*(1-(D60+D61))</f>
        <v>2850000</v>
      </c>
      <c r="F62" t="s">
        <v>247</v>
      </c>
      <c r="G62">
        <v>0</v>
      </c>
      <c r="K62" s="8"/>
      <c r="Q62" s="8"/>
      <c r="S62" t="s">
        <v>95</v>
      </c>
      <c r="T62">
        <v>30</v>
      </c>
      <c r="U62" s="16" t="s">
        <v>178</v>
      </c>
      <c r="V62" s="8"/>
      <c r="X62" s="40"/>
      <c r="Y62" s="3"/>
      <c r="Z62" s="8"/>
      <c r="AA62" s="6"/>
      <c r="AB62" s="7"/>
      <c r="AC62" s="7" t="s">
        <v>118</v>
      </c>
      <c r="AD62">
        <f>(AD59)*AD60*(1-AD61)/0.45</f>
        <v>7800000</v>
      </c>
      <c r="AF62" s="7"/>
      <c r="AG62" s="7"/>
      <c r="AH62" s="7"/>
      <c r="AI62" s="8"/>
    </row>
    <row r="63" spans="1:35" x14ac:dyDescent="0.2">
      <c r="C63" t="s">
        <v>26</v>
      </c>
      <c r="D63" s="18">
        <f>D59/D62</f>
        <v>0.10986576842105263</v>
      </c>
      <c r="F63" t="s">
        <v>281</v>
      </c>
      <c r="G63">
        <v>0.1</v>
      </c>
      <c r="K63" s="8"/>
      <c r="Q63" s="8"/>
      <c r="S63" t="s">
        <v>96</v>
      </c>
      <c r="T63">
        <v>1.5</v>
      </c>
      <c r="U63" s="45" t="s">
        <v>250</v>
      </c>
      <c r="V63" s="8"/>
      <c r="X63" s="11"/>
      <c r="Z63" s="8"/>
      <c r="AA63" s="6"/>
      <c r="AB63" s="7"/>
      <c r="AC63" s="7" t="s">
        <v>114</v>
      </c>
      <c r="AD63" s="7">
        <v>0.5</v>
      </c>
      <c r="AE63" t="s">
        <v>232</v>
      </c>
      <c r="AF63" s="7"/>
      <c r="AG63" s="7"/>
      <c r="AH63" s="7"/>
      <c r="AI63" s="8"/>
    </row>
    <row r="64" spans="1:35" x14ac:dyDescent="0.2">
      <c r="C64" t="s">
        <v>27</v>
      </c>
      <c r="D64" s="18">
        <f>D63*N38</f>
        <v>0.4394630736842105</v>
      </c>
      <c r="F64" t="s">
        <v>207</v>
      </c>
      <c r="G64" s="18">
        <f>G60*D64</f>
        <v>4.3946307368421055E-2</v>
      </c>
      <c r="K64" s="8"/>
      <c r="L64" s="29" t="s">
        <v>176</v>
      </c>
      <c r="Q64" s="8"/>
      <c r="S64" t="s">
        <v>97</v>
      </c>
      <c r="T64">
        <f>T63*T62</f>
        <v>45</v>
      </c>
      <c r="U64" s="16"/>
      <c r="V64" s="8"/>
      <c r="Z64" s="8"/>
      <c r="AA64" s="6"/>
      <c r="AB64" s="7"/>
      <c r="AC64" s="7" t="s">
        <v>115</v>
      </c>
      <c r="AD64" s="17">
        <f>AD62*(1-AD63)*D63</f>
        <v>428476.49684210523</v>
      </c>
      <c r="AE64" s="7"/>
      <c r="AF64" s="7"/>
      <c r="AG64" s="7"/>
      <c r="AH64" s="7"/>
      <c r="AI64" s="8"/>
    </row>
    <row r="65" spans="3:35" x14ac:dyDescent="0.2">
      <c r="K65" s="8"/>
      <c r="L65" s="30"/>
      <c r="M65" t="s">
        <v>51</v>
      </c>
      <c r="N65">
        <f>N25*G37</f>
        <v>0</v>
      </c>
      <c r="Q65" s="8"/>
      <c r="S65" t="s">
        <v>98</v>
      </c>
      <c r="T65">
        <v>2</v>
      </c>
      <c r="U65" s="16" t="s">
        <v>178</v>
      </c>
      <c r="V65" s="8"/>
      <c r="Z65" s="8"/>
      <c r="AA65" s="6"/>
      <c r="AB65" s="7"/>
      <c r="AC65" s="7" t="s">
        <v>117</v>
      </c>
      <c r="AD65" s="7">
        <f>AD64*N31</f>
        <v>1713905.9873684209</v>
      </c>
      <c r="AE65" s="7"/>
      <c r="AF65" s="7"/>
      <c r="AG65" s="7"/>
      <c r="AH65" s="7"/>
      <c r="AI65" s="8"/>
    </row>
    <row r="66" spans="3:35" x14ac:dyDescent="0.2">
      <c r="C66" s="3" t="s">
        <v>312</v>
      </c>
      <c r="K66" s="8"/>
      <c r="M66" t="s">
        <v>48</v>
      </c>
      <c r="N66">
        <f>N65/E37</f>
        <v>0</v>
      </c>
      <c r="Q66" s="8"/>
      <c r="S66" t="s">
        <v>89</v>
      </c>
      <c r="T66">
        <v>4</v>
      </c>
      <c r="V66" s="8"/>
      <c r="Z66" s="8"/>
      <c r="AA66" s="6"/>
      <c r="AB66" s="7"/>
      <c r="AC66" s="7"/>
      <c r="AD66" s="7"/>
      <c r="AE66" s="7"/>
      <c r="AF66" s="7"/>
      <c r="AG66" s="7"/>
      <c r="AH66" s="7"/>
      <c r="AI66" s="8"/>
    </row>
    <row r="67" spans="3:35" x14ac:dyDescent="0.2">
      <c r="C67" t="s">
        <v>22</v>
      </c>
      <c r="D67">
        <f>G27*N25</f>
        <v>0</v>
      </c>
      <c r="F67" s="59" t="s">
        <v>245</v>
      </c>
      <c r="G67" s="62">
        <v>1</v>
      </c>
      <c r="K67" s="8"/>
      <c r="M67" t="s">
        <v>54</v>
      </c>
      <c r="N67">
        <f>N66/X24/T25</f>
        <v>0</v>
      </c>
      <c r="Q67" s="8"/>
      <c r="S67" t="s">
        <v>99</v>
      </c>
      <c r="T67">
        <f>T66*T65*T64</f>
        <v>360</v>
      </c>
      <c r="V67" s="8"/>
      <c r="Z67" s="8"/>
      <c r="AA67" s="6"/>
      <c r="AB67" s="12" t="s">
        <v>120</v>
      </c>
      <c r="AC67" s="7"/>
      <c r="AD67" s="7"/>
      <c r="AE67" s="7"/>
      <c r="AF67" s="7"/>
      <c r="AG67" s="7"/>
      <c r="AH67" s="7"/>
      <c r="AI67" s="8"/>
    </row>
    <row r="68" spans="3:35" x14ac:dyDescent="0.2">
      <c r="C68" t="s">
        <v>23</v>
      </c>
      <c r="D68">
        <v>0.1</v>
      </c>
      <c r="F68" s="59"/>
      <c r="G68" s="62"/>
      <c r="K68" s="8"/>
      <c r="M68" t="s">
        <v>55</v>
      </c>
      <c r="N68">
        <f>(70*(N67*T25)^0.75)*365</f>
        <v>0</v>
      </c>
      <c r="Q68" s="8"/>
      <c r="S68" t="s">
        <v>100</v>
      </c>
      <c r="T68">
        <f>T67*N44/1000</f>
        <v>7.2</v>
      </c>
      <c r="V68" s="8"/>
      <c r="Z68" s="8"/>
      <c r="AA68" s="6"/>
      <c r="AB68" s="7"/>
      <c r="AC68" s="7" t="s">
        <v>110</v>
      </c>
      <c r="AD68" s="13">
        <f>650*10000</f>
        <v>6500000</v>
      </c>
      <c r="AE68" s="7"/>
      <c r="AF68" s="7"/>
      <c r="AG68" s="7" t="s">
        <v>222</v>
      </c>
      <c r="AH68" s="7"/>
      <c r="AI68" s="8"/>
    </row>
    <row r="69" spans="3:35" x14ac:dyDescent="0.2">
      <c r="C69" t="s">
        <v>24</v>
      </c>
      <c r="D69">
        <v>0.3</v>
      </c>
      <c r="F69" s="3" t="s">
        <v>246</v>
      </c>
      <c r="G69" s="3">
        <f>G67*D72</f>
        <v>0</v>
      </c>
      <c r="K69" s="8"/>
      <c r="M69" t="s">
        <v>258</v>
      </c>
      <c r="N69">
        <v>0.6</v>
      </c>
      <c r="O69" s="60">
        <f>SUM(N69:N71)</f>
        <v>1</v>
      </c>
      <c r="P69" t="s">
        <v>241</v>
      </c>
      <c r="Q69" s="8"/>
      <c r="S69" t="s">
        <v>101</v>
      </c>
      <c r="T69">
        <f>T67*N38</f>
        <v>1440</v>
      </c>
      <c r="V69" s="8"/>
      <c r="Z69" s="8"/>
      <c r="AA69" s="6"/>
      <c r="AB69" s="7"/>
      <c r="AC69" s="7" t="s">
        <v>111</v>
      </c>
      <c r="AD69" s="7">
        <v>0.59</v>
      </c>
      <c r="AE69" s="7" t="s">
        <v>226</v>
      </c>
      <c r="AF69" s="7"/>
      <c r="AG69" s="7"/>
      <c r="AH69" s="7"/>
      <c r="AI69" s="8"/>
    </row>
    <row r="70" spans="3:35" x14ac:dyDescent="0.2">
      <c r="C70" t="s">
        <v>25</v>
      </c>
      <c r="D70" s="18">
        <f>F27*(1-SUM(D68:D69))</f>
        <v>1332000</v>
      </c>
      <c r="K70" s="8"/>
      <c r="M70" t="s">
        <v>259</v>
      </c>
      <c r="N70">
        <v>0.1</v>
      </c>
      <c r="O70" s="60"/>
      <c r="Q70" s="8"/>
      <c r="S70" t="s">
        <v>102</v>
      </c>
      <c r="T70">
        <v>0</v>
      </c>
      <c r="U70" t="s">
        <v>209</v>
      </c>
      <c r="V70" s="8"/>
      <c r="Z70" s="8"/>
      <c r="AA70" s="6"/>
      <c r="AB70" s="7"/>
      <c r="AC70" s="7" t="s">
        <v>112</v>
      </c>
      <c r="AD70" s="7">
        <v>0.1</v>
      </c>
      <c r="AE70" s="7"/>
      <c r="AF70" s="7"/>
      <c r="AG70" s="7"/>
      <c r="AH70" s="7"/>
      <c r="AI70" s="8"/>
    </row>
    <row r="71" spans="3:35" x14ac:dyDescent="0.2">
      <c r="C71" t="s">
        <v>26</v>
      </c>
      <c r="D71" s="18">
        <f>D67/D70</f>
        <v>0</v>
      </c>
      <c r="K71" s="8"/>
      <c r="M71" t="s">
        <v>260</v>
      </c>
      <c r="N71">
        <v>0.3</v>
      </c>
      <c r="O71" s="60"/>
      <c r="Q71" s="8"/>
      <c r="V71" s="8"/>
      <c r="Z71" s="8"/>
      <c r="AA71" s="6"/>
      <c r="AB71" s="7"/>
      <c r="AC71" s="7" t="s">
        <v>118</v>
      </c>
      <c r="AD71">
        <f>(AD68)*AD69*(1-AD70)/0.45</f>
        <v>7670000</v>
      </c>
      <c r="AE71" s="7"/>
      <c r="AF71" s="7"/>
      <c r="AG71" s="7"/>
      <c r="AH71" s="7"/>
      <c r="AI71" s="8"/>
    </row>
    <row r="72" spans="3:35" x14ac:dyDescent="0.2">
      <c r="C72" t="s">
        <v>27</v>
      </c>
      <c r="D72" s="18">
        <f>D71*N38</f>
        <v>0</v>
      </c>
      <c r="K72" s="8"/>
      <c r="M72" t="s">
        <v>49</v>
      </c>
      <c r="N72">
        <f>N69*N68/W31</f>
        <v>0</v>
      </c>
      <c r="Q72" s="8"/>
      <c r="S72" s="16" t="s">
        <v>183</v>
      </c>
      <c r="V72" s="8"/>
      <c r="Z72" s="8"/>
      <c r="AA72" s="6"/>
      <c r="AB72" s="7"/>
      <c r="AC72" s="7" t="s">
        <v>114</v>
      </c>
      <c r="AD72" s="7">
        <v>0.52</v>
      </c>
      <c r="AE72" s="7" t="s">
        <v>227</v>
      </c>
      <c r="AF72" s="7"/>
      <c r="AG72" s="7"/>
      <c r="AH72" s="7"/>
      <c r="AI72" s="8"/>
    </row>
    <row r="73" spans="3:35" x14ac:dyDescent="0.2">
      <c r="K73" s="8"/>
      <c r="M73" t="s">
        <v>50</v>
      </c>
      <c r="N73">
        <f>N70*N68/W32</f>
        <v>0</v>
      </c>
      <c r="Q73" s="8"/>
      <c r="V73" s="8"/>
      <c r="Z73" s="8"/>
      <c r="AA73" s="6"/>
      <c r="AB73" s="7"/>
      <c r="AC73" s="7" t="s">
        <v>115</v>
      </c>
      <c r="AD73" s="17">
        <f>AD71*(1-AD72)*D71</f>
        <v>0</v>
      </c>
      <c r="AE73" s="7"/>
      <c r="AF73" s="7"/>
      <c r="AG73" s="7"/>
      <c r="AH73" s="7"/>
      <c r="AI73" s="8"/>
    </row>
    <row r="74" spans="3:35" x14ac:dyDescent="0.2">
      <c r="C74" s="3" t="s">
        <v>9</v>
      </c>
      <c r="F74" s="59" t="s">
        <v>248</v>
      </c>
      <c r="G74" s="60">
        <v>1</v>
      </c>
      <c r="K74" s="8"/>
      <c r="M74" t="s">
        <v>254</v>
      </c>
      <c r="N74">
        <f>SUM(N72:N73)</f>
        <v>0</v>
      </c>
      <c r="Q74" s="8"/>
      <c r="V74" s="8"/>
      <c r="Z74" s="8"/>
      <c r="AA74" s="6"/>
      <c r="AB74" s="7"/>
      <c r="AC74" s="7" t="s">
        <v>117</v>
      </c>
      <c r="AD74" s="7">
        <f>$N$31*AD73</f>
        <v>0</v>
      </c>
      <c r="AE74" s="7"/>
      <c r="AF74" s="7"/>
      <c r="AG74" s="7"/>
      <c r="AH74" s="7"/>
      <c r="AI74" s="8"/>
    </row>
    <row r="75" spans="3:35" x14ac:dyDescent="0.2">
      <c r="C75" t="s">
        <v>22</v>
      </c>
      <c r="D75">
        <f>G32*N25</f>
        <v>12231.15</v>
      </c>
      <c r="F75" s="59"/>
      <c r="G75" s="60"/>
      <c r="K75" s="8"/>
      <c r="M75" s="3" t="s">
        <v>255</v>
      </c>
      <c r="N75" s="3">
        <f>N74*N31</f>
        <v>0</v>
      </c>
      <c r="Q75" s="8"/>
      <c r="R75" s="3" t="s">
        <v>184</v>
      </c>
      <c r="V75" s="8"/>
      <c r="Z75" s="8"/>
      <c r="AA75" s="6"/>
      <c r="AB75" s="7"/>
      <c r="AC75" s="7"/>
      <c r="AD75" s="7"/>
      <c r="AE75" s="7"/>
      <c r="AF75" s="7"/>
      <c r="AG75" s="7"/>
      <c r="AH75" s="7"/>
      <c r="AI75" s="8"/>
    </row>
    <row r="76" spans="3:35" x14ac:dyDescent="0.2">
      <c r="C76" t="s">
        <v>23</v>
      </c>
      <c r="D76">
        <v>0</v>
      </c>
      <c r="F76" s="59"/>
      <c r="G76" s="60"/>
      <c r="K76" s="8"/>
      <c r="M76" s="3" t="s">
        <v>256</v>
      </c>
      <c r="N76" s="3">
        <f>N67*N31</f>
        <v>0</v>
      </c>
      <c r="Q76" s="8"/>
      <c r="S76" t="s">
        <v>87</v>
      </c>
      <c r="T76">
        <v>1.5</v>
      </c>
      <c r="U76" s="16" t="s">
        <v>178</v>
      </c>
      <c r="V76" s="8"/>
      <c r="Z76" s="8"/>
      <c r="AA76" s="6"/>
      <c r="AB76" s="12" t="s">
        <v>134</v>
      </c>
      <c r="AC76" s="7"/>
      <c r="AD76" s="7"/>
      <c r="AE76" s="7"/>
      <c r="AF76" s="7"/>
      <c r="AG76" s="7"/>
      <c r="AH76" s="7"/>
      <c r="AI76" s="8"/>
    </row>
    <row r="77" spans="3:35" x14ac:dyDescent="0.2">
      <c r="C77" t="s">
        <v>24</v>
      </c>
      <c r="D77">
        <v>0.3</v>
      </c>
      <c r="F77" t="s">
        <v>249</v>
      </c>
      <c r="G77">
        <f>G74*D80</f>
        <v>1.4205749128919861E-2</v>
      </c>
      <c r="K77" s="8"/>
      <c r="Q77" s="8"/>
      <c r="S77" t="s">
        <v>88</v>
      </c>
      <c r="T77">
        <v>82</v>
      </c>
      <c r="U77" s="16" t="s">
        <v>103</v>
      </c>
      <c r="V77" s="8"/>
      <c r="Z77" s="8"/>
      <c r="AA77" s="6"/>
      <c r="AB77" s="7"/>
      <c r="AC77" s="7" t="s">
        <v>125</v>
      </c>
      <c r="AD77">
        <f>((((40+96)/2)/1.28)/1.331)*0.67</f>
        <v>26.742111194590535</v>
      </c>
      <c r="AE77" s="7"/>
      <c r="AF77" s="7" t="s">
        <v>228</v>
      </c>
      <c r="AG77" s="7"/>
      <c r="AH77" s="7"/>
      <c r="AI77" s="8"/>
    </row>
    <row r="78" spans="3:35" x14ac:dyDescent="0.2">
      <c r="C78" t="s">
        <v>25</v>
      </c>
      <c r="D78" s="18">
        <f>F32*(1-SUM(D76:D77))</f>
        <v>3444000</v>
      </c>
      <c r="K78" s="8"/>
      <c r="M78" s="3" t="s">
        <v>243</v>
      </c>
      <c r="Q78" s="8"/>
      <c r="S78" t="s">
        <v>89</v>
      </c>
      <c r="T78">
        <v>4</v>
      </c>
      <c r="U78" s="16"/>
      <c r="V78" s="8"/>
      <c r="Z78" s="8"/>
      <c r="AA78" s="6"/>
      <c r="AB78" s="7"/>
      <c r="AC78" s="7" t="s">
        <v>126</v>
      </c>
      <c r="AD78">
        <f>((40+96)/2)</f>
        <v>68</v>
      </c>
      <c r="AE78" s="7"/>
      <c r="AF78" s="7" t="s">
        <v>229</v>
      </c>
      <c r="AG78" s="7"/>
      <c r="AH78" s="7"/>
      <c r="AI78" s="8"/>
    </row>
    <row r="79" spans="3:35" x14ac:dyDescent="0.2">
      <c r="C79" t="s">
        <v>26</v>
      </c>
      <c r="D79" s="18">
        <f>D75/D78</f>
        <v>3.5514372822299653E-3</v>
      </c>
      <c r="K79" s="8"/>
      <c r="Q79" s="8"/>
      <c r="S79" t="s">
        <v>90</v>
      </c>
      <c r="T79">
        <f>T76*T77*T78</f>
        <v>492</v>
      </c>
      <c r="U79" s="16"/>
      <c r="V79" s="8"/>
      <c r="Z79" s="8"/>
      <c r="AA79" s="6"/>
      <c r="AB79" s="7"/>
      <c r="AC79" s="7" t="s">
        <v>127</v>
      </c>
      <c r="AD79">
        <f>AD78-AD77</f>
        <v>41.257888805409465</v>
      </c>
      <c r="AE79" s="7"/>
      <c r="AF79" s="7" t="s">
        <v>230</v>
      </c>
      <c r="AG79" s="7"/>
      <c r="AH79" s="7"/>
      <c r="AI79" s="8"/>
    </row>
    <row r="80" spans="3:35" x14ac:dyDescent="0.2">
      <c r="C80" t="s">
        <v>27</v>
      </c>
      <c r="D80" s="18">
        <f>D79*N38</f>
        <v>1.4205749128919861E-2</v>
      </c>
      <c r="K80" s="8"/>
      <c r="L80" s="29" t="s">
        <v>257</v>
      </c>
      <c r="Q80" s="8"/>
      <c r="S80" t="s">
        <v>91</v>
      </c>
      <c r="T80">
        <f>T79*N44/1000</f>
        <v>9.84</v>
      </c>
      <c r="U80" s="16"/>
      <c r="V80" s="8"/>
      <c r="Z80" s="8"/>
      <c r="AA80" s="6"/>
      <c r="AB80" s="7"/>
      <c r="AC80" s="7" t="s">
        <v>128</v>
      </c>
      <c r="AD80">
        <f>(AD77)*E41</f>
        <v>23800.478963185575</v>
      </c>
      <c r="AE80" s="7"/>
      <c r="AF80" s="7"/>
      <c r="AG80" s="7"/>
      <c r="AH80" s="7"/>
      <c r="AI80" s="8"/>
    </row>
    <row r="81" spans="1:35" x14ac:dyDescent="0.2">
      <c r="A81" s="7"/>
      <c r="B81" s="7"/>
      <c r="C81" s="7"/>
      <c r="D81" s="7"/>
      <c r="K81" s="8"/>
      <c r="M81" t="s">
        <v>261</v>
      </c>
      <c r="N81">
        <f>N25*G38</f>
        <v>0</v>
      </c>
      <c r="Q81" s="8"/>
      <c r="S81" t="s">
        <v>92</v>
      </c>
      <c r="T81">
        <f>T79*N38</f>
        <v>1968</v>
      </c>
      <c r="U81" s="16"/>
      <c r="V81" s="8"/>
      <c r="Z81" s="8"/>
      <c r="AA81" s="6"/>
      <c r="AB81" s="7"/>
      <c r="AC81" s="7" t="s">
        <v>129</v>
      </c>
      <c r="AD81">
        <f>AD79*E41</f>
        <v>36719.521036814425</v>
      </c>
      <c r="AE81" s="7"/>
      <c r="AF81" s="7"/>
      <c r="AG81" s="7"/>
      <c r="AH81" s="7"/>
      <c r="AI81" s="8"/>
    </row>
    <row r="82" spans="1:35" x14ac:dyDescent="0.2">
      <c r="C82" s="3" t="s">
        <v>313</v>
      </c>
      <c r="K82" s="8"/>
      <c r="M82" t="s">
        <v>48</v>
      </c>
      <c r="N82">
        <f>N81/E38</f>
        <v>0</v>
      </c>
      <c r="Q82" s="8"/>
      <c r="S82" t="s">
        <v>93</v>
      </c>
      <c r="T82">
        <f>T81/N43/10000</f>
        <v>0.1525581395348837</v>
      </c>
      <c r="U82" s="16"/>
      <c r="V82" s="8"/>
      <c r="Z82" s="8"/>
      <c r="AA82" s="6"/>
      <c r="AB82" s="7"/>
      <c r="AC82" s="7" t="s">
        <v>130</v>
      </c>
      <c r="AD82">
        <f>N25*G41</f>
        <v>13046.56</v>
      </c>
      <c r="AE82" s="7"/>
      <c r="AF82" s="7"/>
      <c r="AG82" s="7"/>
      <c r="AH82" s="7"/>
      <c r="AI82" s="8"/>
    </row>
    <row r="83" spans="1:35" x14ac:dyDescent="0.2">
      <c r="C83" t="s">
        <v>22</v>
      </c>
      <c r="D83">
        <f>G26*N25</f>
        <v>313117.44</v>
      </c>
      <c r="F83" t="s">
        <v>207</v>
      </c>
      <c r="G83" s="18">
        <f>G63*D88</f>
        <v>2.635668686868687E-2</v>
      </c>
      <c r="K83" s="8"/>
      <c r="M83" t="s">
        <v>262</v>
      </c>
      <c r="N83">
        <f>N82/X26/T26</f>
        <v>0</v>
      </c>
      <c r="Q83" s="8"/>
      <c r="V83" s="8"/>
      <c r="Z83" s="8"/>
      <c r="AA83" s="6"/>
      <c r="AB83" s="7"/>
      <c r="AC83" s="7" t="s">
        <v>131</v>
      </c>
      <c r="AD83">
        <f>AD82/AD80</f>
        <v>0.54816375839243958</v>
      </c>
      <c r="AE83" s="7"/>
      <c r="AF83" s="7"/>
      <c r="AG83" s="7"/>
      <c r="AH83" s="7"/>
      <c r="AI83" s="8"/>
    </row>
    <row r="84" spans="1:35" x14ac:dyDescent="0.2">
      <c r="C84" t="s">
        <v>23</v>
      </c>
      <c r="D84">
        <v>0.1</v>
      </c>
      <c r="K84" s="8"/>
      <c r="M84" t="s">
        <v>263</v>
      </c>
      <c r="N84">
        <f>(70*(N83*T26)^0.75)*365</f>
        <v>0</v>
      </c>
      <c r="Q84" s="8"/>
      <c r="S84" s="16" t="s">
        <v>183</v>
      </c>
      <c r="V84" s="8"/>
      <c r="Z84" s="8"/>
      <c r="AA84" s="6"/>
      <c r="AB84" s="7"/>
      <c r="AC84" s="7" t="s">
        <v>132</v>
      </c>
      <c r="AD84">
        <f>AD83*N31</f>
        <v>2.1926550335697583</v>
      </c>
      <c r="AE84" s="7"/>
      <c r="AF84" s="7"/>
      <c r="AG84" s="7"/>
      <c r="AH84" s="7"/>
      <c r="AI84" s="8"/>
    </row>
    <row r="85" spans="1:35" x14ac:dyDescent="0.2">
      <c r="C85" t="s">
        <v>24</v>
      </c>
      <c r="D85">
        <v>0.3</v>
      </c>
      <c r="K85" s="8"/>
      <c r="M85" t="s">
        <v>264</v>
      </c>
      <c r="N85">
        <v>0.65</v>
      </c>
      <c r="O85" s="60">
        <f>SUM(N85:N87)</f>
        <v>1</v>
      </c>
      <c r="Q85" s="8"/>
      <c r="V85" s="8"/>
      <c r="Z85" s="8"/>
      <c r="AA85" s="6"/>
      <c r="AB85" s="7"/>
      <c r="AC85" s="7" t="s">
        <v>133</v>
      </c>
      <c r="AD85">
        <f>AD84*AD79</f>
        <v>90.464317563642453</v>
      </c>
      <c r="AE85" s="7"/>
      <c r="AF85" s="7"/>
      <c r="AG85" s="7"/>
      <c r="AH85" s="7"/>
      <c r="AI85" s="8"/>
    </row>
    <row r="86" spans="1:35" x14ac:dyDescent="0.2">
      <c r="C86" t="s">
        <v>25</v>
      </c>
      <c r="D86" s="18">
        <f>F26*(1-(D84+D85))</f>
        <v>4752000</v>
      </c>
      <c r="K86" s="8"/>
      <c r="M86" t="s">
        <v>265</v>
      </c>
      <c r="N86">
        <v>0.1</v>
      </c>
      <c r="O86" s="60"/>
      <c r="Q86" s="8"/>
      <c r="V86" s="8"/>
      <c r="Z86" s="8"/>
      <c r="AA86" s="6"/>
      <c r="AB86" s="7"/>
      <c r="AC86" s="11" t="s">
        <v>187</v>
      </c>
      <c r="AD86" s="7">
        <f>AD84*AD81</f>
        <v>80513.242631641784</v>
      </c>
      <c r="AE86" s="7"/>
      <c r="AF86" s="7"/>
      <c r="AG86" s="7"/>
      <c r="AH86" s="7"/>
      <c r="AI86" s="8"/>
    </row>
    <row r="87" spans="1:35" x14ac:dyDescent="0.2">
      <c r="C87" t="s">
        <v>26</v>
      </c>
      <c r="D87" s="18">
        <f>D83/D86</f>
        <v>6.5891717171717171E-2</v>
      </c>
      <c r="K87" s="8"/>
      <c r="M87" t="s">
        <v>270</v>
      </c>
      <c r="N87">
        <v>0.25</v>
      </c>
      <c r="O87" s="60"/>
      <c r="Q87" s="8"/>
      <c r="R87" s="3" t="s">
        <v>244</v>
      </c>
      <c r="V87" s="8"/>
      <c r="Z87" s="8"/>
      <c r="AA87" s="6"/>
      <c r="AB87" s="12" t="s">
        <v>137</v>
      </c>
      <c r="AC87" s="7"/>
      <c r="AD87" s="7"/>
      <c r="AE87" s="7"/>
      <c r="AF87" s="7"/>
      <c r="AG87" s="7"/>
      <c r="AH87" s="7"/>
      <c r="AI87" s="8"/>
    </row>
    <row r="88" spans="1:35" x14ac:dyDescent="0.2">
      <c r="C88" t="s">
        <v>27</v>
      </c>
      <c r="D88" s="18">
        <f>D87*N38</f>
        <v>0.26356686868686868</v>
      </c>
      <c r="K88" s="8"/>
      <c r="M88" t="s">
        <v>49</v>
      </c>
      <c r="N88">
        <f>N84*N85/W31</f>
        <v>0</v>
      </c>
      <c r="Q88" s="8"/>
      <c r="V88" s="8"/>
      <c r="Z88" s="8"/>
      <c r="AA88" s="6"/>
      <c r="AB88" s="7"/>
      <c r="AC88" s="7" t="s">
        <v>135</v>
      </c>
      <c r="AD88">
        <v>0.9</v>
      </c>
      <c r="AE88" s="7" t="s">
        <v>233</v>
      </c>
      <c r="AF88" s="7"/>
      <c r="AG88" s="7"/>
      <c r="AH88" s="7"/>
      <c r="AI88" s="8"/>
    </row>
    <row r="89" spans="1:35" x14ac:dyDescent="0.2">
      <c r="K89" s="8"/>
      <c r="M89" t="s">
        <v>50</v>
      </c>
      <c r="N89">
        <f>N86*N84/W32</f>
        <v>0</v>
      </c>
      <c r="Q89" s="8"/>
      <c r="V89" s="8"/>
      <c r="Z89" s="8"/>
      <c r="AA89" s="6"/>
      <c r="AB89" s="7"/>
      <c r="AC89" s="7" t="s">
        <v>136</v>
      </c>
      <c r="AD89">
        <v>0.2</v>
      </c>
      <c r="AE89" s="7" t="s">
        <v>234</v>
      </c>
      <c r="AF89" s="7"/>
      <c r="AG89" s="7"/>
      <c r="AH89" s="7"/>
      <c r="AI89" s="8"/>
    </row>
    <row r="90" spans="1:35" x14ac:dyDescent="0.2">
      <c r="A90" s="9"/>
      <c r="B90" s="9"/>
      <c r="C90" s="9"/>
      <c r="D90" s="9"/>
      <c r="E90" s="9"/>
      <c r="F90" s="9"/>
      <c r="G90" s="9"/>
      <c r="H90" s="9"/>
      <c r="I90" s="9"/>
      <c r="J90" s="9"/>
      <c r="K90" s="10"/>
      <c r="M90" t="s">
        <v>271</v>
      </c>
      <c r="N90">
        <f>N87*N84/W33</f>
        <v>0</v>
      </c>
      <c r="Q90" s="8"/>
      <c r="V90" s="8"/>
      <c r="Z90" s="8"/>
      <c r="AA90" s="6"/>
      <c r="AB90" s="7"/>
      <c r="AC90" s="7" t="s">
        <v>143</v>
      </c>
      <c r="AD90">
        <f>(1-AD88)*AD89</f>
        <v>1.9999999999999997E-2</v>
      </c>
      <c r="AE90" s="7"/>
      <c r="AF90" s="7"/>
      <c r="AG90" s="7"/>
      <c r="AH90" s="7"/>
      <c r="AI90" s="8"/>
    </row>
    <row r="91" spans="1:35" x14ac:dyDescent="0.2">
      <c r="K91" s="8"/>
      <c r="M91" t="s">
        <v>266</v>
      </c>
      <c r="N91">
        <f>SUM(N88:N90)</f>
        <v>0</v>
      </c>
      <c r="Q91" s="8"/>
      <c r="V91" s="8"/>
      <c r="Z91" s="8"/>
      <c r="AA91" s="6"/>
      <c r="AB91" s="7"/>
      <c r="AC91" s="7" t="s">
        <v>138</v>
      </c>
      <c r="AD91">
        <f>(AD89*AD88)*E43</f>
        <v>149.4</v>
      </c>
      <c r="AE91" s="7"/>
      <c r="AF91" s="7"/>
      <c r="AG91" s="7"/>
      <c r="AH91" s="7"/>
      <c r="AI91" s="8"/>
    </row>
    <row r="92" spans="1:35" x14ac:dyDescent="0.2">
      <c r="B92" s="3" t="s">
        <v>108</v>
      </c>
      <c r="D92" s="3" t="s">
        <v>109</v>
      </c>
      <c r="E92" s="3">
        <f>D99</f>
        <v>2.1273859094371919E-2</v>
      </c>
      <c r="K92" s="8"/>
      <c r="M92" s="3" t="s">
        <v>267</v>
      </c>
      <c r="N92">
        <f>N91*N31</f>
        <v>0</v>
      </c>
      <c r="Q92" s="8"/>
      <c r="V92" s="8"/>
      <c r="Z92" s="8"/>
      <c r="AA92" s="6"/>
      <c r="AB92" s="7"/>
      <c r="AC92" s="7" t="s">
        <v>139</v>
      </c>
      <c r="AD92">
        <f>G43*N25</f>
        <v>48924.6</v>
      </c>
      <c r="AE92" s="7"/>
      <c r="AF92" s="7"/>
      <c r="AG92" s="7"/>
      <c r="AH92" s="7"/>
      <c r="AI92" s="8"/>
    </row>
    <row r="93" spans="1:35" x14ac:dyDescent="0.2">
      <c r="B93" s="3" t="s">
        <v>311</v>
      </c>
      <c r="K93" s="8"/>
      <c r="M93" s="3" t="s">
        <v>272</v>
      </c>
      <c r="N93">
        <f>N83*N31</f>
        <v>0</v>
      </c>
      <c r="Q93" s="8"/>
      <c r="V93" s="8"/>
      <c r="Z93" s="8"/>
      <c r="AA93" s="6"/>
      <c r="AB93" s="7"/>
      <c r="AC93" s="7" t="s">
        <v>140</v>
      </c>
      <c r="AD93">
        <f>AD92/AD91</f>
        <v>327.47389558232931</v>
      </c>
      <c r="AF93" s="7"/>
      <c r="AG93" s="7"/>
      <c r="AH93" s="7"/>
      <c r="AI93" s="8"/>
    </row>
    <row r="94" spans="1:35" x14ac:dyDescent="0.2">
      <c r="C94" t="s">
        <v>22</v>
      </c>
      <c r="D94">
        <f>N25*G29</f>
        <v>20385.25</v>
      </c>
      <c r="K94" s="8"/>
      <c r="Q94" s="8"/>
      <c r="V94" s="8"/>
      <c r="Z94" s="8"/>
      <c r="AA94" s="6"/>
      <c r="AB94" s="7"/>
      <c r="AC94" s="7" t="s">
        <v>141</v>
      </c>
      <c r="AD94">
        <f>AD93*N31</f>
        <v>1309.8955823293172</v>
      </c>
      <c r="AE94" s="7" t="s">
        <v>317</v>
      </c>
      <c r="AF94" s="7"/>
      <c r="AG94" s="7"/>
      <c r="AH94" s="7"/>
      <c r="AI94" s="8"/>
    </row>
    <row r="95" spans="1:35" x14ac:dyDescent="0.2">
      <c r="C95" t="s">
        <v>23</v>
      </c>
      <c r="D95">
        <v>0</v>
      </c>
      <c r="K95" s="8"/>
      <c r="Q95" s="8"/>
      <c r="V95" s="8"/>
      <c r="Z95" s="8"/>
      <c r="AA95" s="6"/>
      <c r="AB95" s="7"/>
      <c r="AC95" s="7" t="s">
        <v>142</v>
      </c>
      <c r="AD95">
        <f>AD90*AD94</f>
        <v>26.197911646586341</v>
      </c>
      <c r="AE95" s="7"/>
      <c r="AF95" s="7"/>
      <c r="AG95" s="7"/>
      <c r="AH95" s="7"/>
      <c r="AI95" s="8"/>
    </row>
    <row r="96" spans="1:35" x14ac:dyDescent="0.2">
      <c r="C96" t="s">
        <v>24</v>
      </c>
      <c r="D96">
        <v>0.3</v>
      </c>
      <c r="K96" s="8"/>
      <c r="Q96" s="8"/>
      <c r="V96" s="8"/>
      <c r="Z96" s="8"/>
      <c r="AA96" s="6"/>
      <c r="AB96" s="7"/>
      <c r="AC96" s="7" t="s">
        <v>144</v>
      </c>
      <c r="AD96">
        <f>AD95*E42</f>
        <v>31463.691887550194</v>
      </c>
      <c r="AE96" s="7"/>
      <c r="AF96" s="7"/>
      <c r="AG96" s="7"/>
      <c r="AH96" s="7"/>
      <c r="AI96" s="8"/>
    </row>
    <row r="97" spans="3:35" x14ac:dyDescent="0.2">
      <c r="C97" t="s">
        <v>25</v>
      </c>
      <c r="D97">
        <f>F29*(1-SUM(D95:D96))</f>
        <v>3832919.9999999995</v>
      </c>
      <c r="K97" s="8"/>
      <c r="Q97" s="8"/>
      <c r="V97" s="8"/>
      <c r="Z97" s="8"/>
      <c r="AA97" s="6"/>
      <c r="AB97" s="7"/>
      <c r="AC97" s="7"/>
      <c r="AD97" s="7"/>
      <c r="AE97" s="7"/>
      <c r="AF97" s="7"/>
      <c r="AG97" s="7"/>
      <c r="AH97" s="7"/>
      <c r="AI97" s="8"/>
    </row>
    <row r="98" spans="3:35" x14ac:dyDescent="0.2">
      <c r="C98" t="s">
        <v>26</v>
      </c>
      <c r="D98">
        <f>D94/D97</f>
        <v>5.3184647735929798E-3</v>
      </c>
      <c r="K98" s="8"/>
      <c r="Q98" s="8"/>
      <c r="V98" s="8"/>
      <c r="Z98" s="8"/>
      <c r="AA98" s="6"/>
      <c r="AB98" s="12" t="s">
        <v>121</v>
      </c>
      <c r="AC98" s="7"/>
      <c r="AD98" s="7"/>
      <c r="AE98" s="7"/>
      <c r="AF98" s="7"/>
      <c r="AG98" s="7"/>
      <c r="AH98" s="7"/>
      <c r="AI98" s="8"/>
    </row>
    <row r="99" spans="3:35" x14ac:dyDescent="0.2">
      <c r="C99" t="s">
        <v>27</v>
      </c>
      <c r="D99">
        <f>D98*N38</f>
        <v>2.1273859094371919E-2</v>
      </c>
      <c r="K99" s="8"/>
      <c r="Q99" s="8"/>
      <c r="V99" s="8"/>
      <c r="Z99" s="8"/>
      <c r="AA99" s="6"/>
      <c r="AB99" s="7"/>
      <c r="AC99" s="7" t="s">
        <v>145</v>
      </c>
      <c r="AD99" s="7">
        <v>0.5</v>
      </c>
      <c r="AE99" s="7" t="s">
        <v>113</v>
      </c>
      <c r="AF99" s="7"/>
      <c r="AG99" s="7"/>
      <c r="AH99" s="7"/>
      <c r="AI99" s="8"/>
    </row>
    <row r="100" spans="3:35" x14ac:dyDescent="0.2">
      <c r="K100" s="8"/>
      <c r="Q100" s="8"/>
      <c r="V100" s="8"/>
      <c r="Z100" s="8"/>
      <c r="AA100" s="6"/>
      <c r="AB100" s="7"/>
      <c r="AC100" s="7" t="s">
        <v>146</v>
      </c>
      <c r="AD100" s="7">
        <f>AD99*365</f>
        <v>182.5</v>
      </c>
      <c r="AE100" s="7"/>
      <c r="AF100" s="7"/>
      <c r="AG100" s="7"/>
      <c r="AH100" s="7"/>
      <c r="AI100" s="8"/>
    </row>
    <row r="101" spans="3:35" x14ac:dyDescent="0.2">
      <c r="K101" s="8"/>
      <c r="Q101" s="8"/>
      <c r="V101" s="8"/>
      <c r="Z101" s="8"/>
      <c r="AA101" s="6"/>
      <c r="AB101" s="7"/>
      <c r="AC101" s="7" t="s">
        <v>148</v>
      </c>
      <c r="AD101" s="7">
        <f>V35</f>
        <v>890</v>
      </c>
      <c r="AE101" s="7"/>
      <c r="AF101" s="7"/>
      <c r="AG101" s="7"/>
      <c r="AH101" s="7"/>
      <c r="AI101" s="8"/>
    </row>
    <row r="102" spans="3:35" x14ac:dyDescent="0.2">
      <c r="K102" s="8"/>
      <c r="Q102" s="8"/>
      <c r="V102" s="8"/>
      <c r="Z102" s="8"/>
      <c r="AA102" s="6"/>
      <c r="AB102" s="7"/>
      <c r="AC102" s="7" t="s">
        <v>147</v>
      </c>
      <c r="AD102" s="7">
        <f>AD100*AD101</f>
        <v>162425</v>
      </c>
      <c r="AE102" s="7"/>
      <c r="AF102" s="7"/>
      <c r="AG102" s="7"/>
      <c r="AH102" s="7"/>
      <c r="AI102" s="8"/>
    </row>
    <row r="103" spans="3:35" x14ac:dyDescent="0.2">
      <c r="K103" s="8"/>
      <c r="Q103" s="8"/>
      <c r="V103" s="8"/>
      <c r="Z103" s="8"/>
      <c r="AA103" s="6"/>
      <c r="AB103" s="7"/>
      <c r="AC103" s="7" t="s">
        <v>150</v>
      </c>
      <c r="AD103" s="7">
        <f>AD100*N31</f>
        <v>730</v>
      </c>
      <c r="AE103" s="7"/>
      <c r="AF103" s="7"/>
      <c r="AG103" s="7"/>
      <c r="AH103" s="7"/>
      <c r="AI103" s="8"/>
    </row>
    <row r="104" spans="3:35" x14ac:dyDescent="0.2">
      <c r="K104" s="8"/>
      <c r="Q104" s="8"/>
      <c r="V104" s="8"/>
      <c r="Z104" s="8"/>
      <c r="AA104" s="6"/>
      <c r="AB104" s="7"/>
      <c r="AC104" s="7" t="s">
        <v>149</v>
      </c>
      <c r="AD104" s="7">
        <f>AD102*N38</f>
        <v>649700</v>
      </c>
      <c r="AE104" s="7"/>
      <c r="AF104" s="7"/>
      <c r="AG104" s="7"/>
      <c r="AH104" s="7"/>
      <c r="AI104" s="8"/>
    </row>
    <row r="105" spans="3:35" x14ac:dyDescent="0.2">
      <c r="K105" s="8"/>
      <c r="Q105" s="8"/>
      <c r="V105" s="8"/>
      <c r="Z105" s="8"/>
      <c r="AA105" s="6"/>
      <c r="AB105" s="7"/>
      <c r="AC105" s="7"/>
      <c r="AD105" s="7"/>
      <c r="AE105" s="7"/>
      <c r="AF105" s="7"/>
      <c r="AG105" s="7"/>
      <c r="AH105" s="7"/>
      <c r="AI105" s="8"/>
    </row>
    <row r="106" spans="3:35" x14ac:dyDescent="0.2">
      <c r="Z106" s="8"/>
      <c r="AA106" s="23"/>
      <c r="AB106" s="9"/>
      <c r="AC106" s="9"/>
      <c r="AD106" s="9"/>
      <c r="AE106" s="9"/>
      <c r="AF106" s="9"/>
      <c r="AG106" s="9"/>
      <c r="AH106" s="9"/>
      <c r="AI106" s="10"/>
    </row>
  </sheetData>
  <mergeCells count="10">
    <mergeCell ref="O69:O71"/>
    <mergeCell ref="F74:F76"/>
    <mergeCell ref="G74:G76"/>
    <mergeCell ref="O85:O87"/>
    <mergeCell ref="B25:B33"/>
    <mergeCell ref="B34:B39"/>
    <mergeCell ref="B40:B43"/>
    <mergeCell ref="O53:O54"/>
    <mergeCell ref="F67:F68"/>
    <mergeCell ref="G67:G68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3345EA-FA44-354C-9F11-B3989855D213}">
  <dimension ref="A1:AI106"/>
  <sheetViews>
    <sheetView workbookViewId="0">
      <selection activeCell="H41" sqref="H41"/>
    </sheetView>
  </sheetViews>
  <sheetFormatPr baseColWidth="10" defaultRowHeight="16" x14ac:dyDescent="0.2"/>
  <cols>
    <col min="1" max="1" width="13.33203125" customWidth="1"/>
    <col min="2" max="2" width="14" customWidth="1"/>
    <col min="3" max="3" width="34.6640625" customWidth="1"/>
    <col min="4" max="4" width="19" customWidth="1"/>
    <col min="6" max="6" width="15" customWidth="1"/>
    <col min="13" max="13" width="43.5" customWidth="1"/>
    <col min="18" max="18" width="14.6640625" customWidth="1"/>
    <col min="19" max="19" width="43.83203125" customWidth="1"/>
    <col min="20" max="20" width="17.5" customWidth="1"/>
    <col min="22" max="22" width="14.5" customWidth="1"/>
    <col min="23" max="23" width="23.5" customWidth="1"/>
    <col min="24" max="24" width="33" customWidth="1"/>
    <col min="27" max="27" width="22.83203125" bestFit="1" customWidth="1"/>
    <col min="28" max="28" width="13.33203125" customWidth="1"/>
    <col min="29" max="29" width="50.1640625" bestFit="1" customWidth="1"/>
    <col min="30" max="30" width="12.1640625" bestFit="1" customWidth="1"/>
    <col min="33" max="33" width="45.6640625" bestFit="1" customWidth="1"/>
  </cols>
  <sheetData>
    <row r="1" spans="1:5" ht="21" x14ac:dyDescent="0.25">
      <c r="A1" s="2" t="s">
        <v>0</v>
      </c>
    </row>
    <row r="2" spans="1:5" ht="21" x14ac:dyDescent="0.25">
      <c r="A2" s="2" t="s">
        <v>167</v>
      </c>
      <c r="B2" s="2">
        <v>1800</v>
      </c>
    </row>
    <row r="3" spans="1:5" s="9" customFormat="1" ht="21" x14ac:dyDescent="0.25">
      <c r="A3" s="19" t="s">
        <v>166</v>
      </c>
      <c r="B3" s="19" t="s">
        <v>297</v>
      </c>
    </row>
    <row r="7" spans="1:5" ht="19" x14ac:dyDescent="0.25">
      <c r="B7" s="20" t="s">
        <v>168</v>
      </c>
      <c r="C7" s="4"/>
      <c r="D7" s="4"/>
      <c r="E7" s="5"/>
    </row>
    <row r="8" spans="1:5" x14ac:dyDescent="0.2">
      <c r="B8" s="21" t="s">
        <v>169</v>
      </c>
      <c r="C8" s="12" t="s">
        <v>251</v>
      </c>
      <c r="D8" s="12" t="s">
        <v>104</v>
      </c>
      <c r="E8" s="22" t="s">
        <v>252</v>
      </c>
    </row>
    <row r="9" spans="1:5" x14ac:dyDescent="0.2">
      <c r="B9" s="6">
        <v>1</v>
      </c>
      <c r="C9" s="7" t="s">
        <v>105</v>
      </c>
      <c r="D9" s="15">
        <f>N34*(N38/N31)</f>
        <v>5.5500000000000007</v>
      </c>
      <c r="E9" s="8">
        <v>1</v>
      </c>
    </row>
    <row r="10" spans="1:5" x14ac:dyDescent="0.2">
      <c r="B10" s="6">
        <v>2</v>
      </c>
      <c r="C10" s="7" t="s">
        <v>212</v>
      </c>
      <c r="D10" s="15">
        <f>E48+G69</f>
        <v>112.31717880032849</v>
      </c>
      <c r="E10" s="8">
        <v>2</v>
      </c>
    </row>
    <row r="11" spans="1:5" x14ac:dyDescent="0.2">
      <c r="B11" s="6">
        <v>3</v>
      </c>
      <c r="C11" s="7" t="s">
        <v>213</v>
      </c>
      <c r="D11" s="15">
        <f>E57</f>
        <v>120.10827171695908</v>
      </c>
      <c r="E11" s="8">
        <v>3</v>
      </c>
    </row>
    <row r="12" spans="1:5" x14ac:dyDescent="0.2">
      <c r="B12" s="6">
        <v>4</v>
      </c>
      <c r="C12" s="7" t="s">
        <v>214</v>
      </c>
      <c r="D12" s="15">
        <f>D11/(1/3)-D11</f>
        <v>240.21654343391819</v>
      </c>
      <c r="E12" s="8">
        <v>4</v>
      </c>
    </row>
    <row r="13" spans="1:5" x14ac:dyDescent="0.2">
      <c r="B13" s="6">
        <v>5</v>
      </c>
      <c r="C13" s="7" t="s">
        <v>285</v>
      </c>
      <c r="D13" s="15">
        <f>N75+N92</f>
        <v>92.940110282809684</v>
      </c>
      <c r="E13" s="8">
        <v>4</v>
      </c>
    </row>
    <row r="14" spans="1:5" x14ac:dyDescent="0.2">
      <c r="B14" s="6">
        <v>6</v>
      </c>
      <c r="C14" s="7" t="s">
        <v>215</v>
      </c>
      <c r="D14" s="15">
        <f>E92</f>
        <v>6.0417759828016253</v>
      </c>
      <c r="E14" s="8">
        <v>5</v>
      </c>
    </row>
    <row r="15" spans="1:5" x14ac:dyDescent="0.2">
      <c r="B15" s="6">
        <v>7</v>
      </c>
      <c r="C15" s="7" t="s">
        <v>216</v>
      </c>
      <c r="D15" s="15">
        <f>U47</f>
        <v>85.199999999999989</v>
      </c>
      <c r="E15" s="8">
        <v>5</v>
      </c>
    </row>
    <row r="16" spans="1:5" x14ac:dyDescent="0.2">
      <c r="B16" s="6">
        <v>8</v>
      </c>
      <c r="C16" s="7" t="s">
        <v>238</v>
      </c>
      <c r="D16" s="15">
        <f>N58</f>
        <v>60.675686759809338</v>
      </c>
      <c r="E16" s="8">
        <v>6</v>
      </c>
    </row>
    <row r="17" spans="1:35" x14ac:dyDescent="0.2">
      <c r="B17" s="6">
        <v>9</v>
      </c>
      <c r="C17" s="7" t="s">
        <v>106</v>
      </c>
      <c r="D17" s="15">
        <f>Y52</f>
        <v>7951.9999999999991</v>
      </c>
      <c r="E17" s="8">
        <v>6</v>
      </c>
    </row>
    <row r="18" spans="1:35" x14ac:dyDescent="0.2">
      <c r="B18" s="6">
        <v>10</v>
      </c>
      <c r="C18" s="7" t="s">
        <v>211</v>
      </c>
      <c r="D18" s="15">
        <f>SUM(D9:D15)+D16</f>
        <v>723.04956697662635</v>
      </c>
      <c r="E18" s="8" t="s">
        <v>16</v>
      </c>
    </row>
    <row r="19" spans="1:35" x14ac:dyDescent="0.2">
      <c r="B19" s="23">
        <v>11</v>
      </c>
      <c r="C19" s="46" t="s">
        <v>253</v>
      </c>
      <c r="D19" s="41">
        <f>SUM(D9:D17)</f>
        <v>8675.049566976626</v>
      </c>
      <c r="E19" s="10" t="s">
        <v>16</v>
      </c>
    </row>
    <row r="21" spans="1:35" s="4" customFormat="1" x14ac:dyDescent="0.2">
      <c r="A21" s="26"/>
      <c r="K21" s="5"/>
      <c r="Q21" s="5"/>
      <c r="R21" s="26"/>
      <c r="Z21" s="5"/>
      <c r="AA21" s="26"/>
      <c r="AI21" s="5"/>
    </row>
    <row r="22" spans="1:35" ht="19" x14ac:dyDescent="0.25">
      <c r="A22" s="27" t="s">
        <v>170</v>
      </c>
      <c r="C22" s="7"/>
      <c r="D22" s="7"/>
      <c r="E22" s="7"/>
      <c r="F22" s="7"/>
      <c r="G22" s="7"/>
      <c r="H22" s="7"/>
      <c r="I22" s="7"/>
      <c r="J22" s="7"/>
      <c r="K22" s="8"/>
      <c r="L22" s="7"/>
      <c r="M22" s="7"/>
      <c r="N22" s="7"/>
      <c r="O22" s="7"/>
      <c r="P22" s="7"/>
      <c r="Q22" s="8"/>
      <c r="R22" s="6"/>
      <c r="S22" s="7"/>
      <c r="T22" s="7"/>
      <c r="U22" s="7"/>
      <c r="V22" s="7"/>
      <c r="W22" s="7"/>
      <c r="X22" s="7"/>
      <c r="Y22" s="7"/>
      <c r="Z22" s="8"/>
      <c r="AA22" s="6"/>
      <c r="AB22" s="7"/>
      <c r="AC22" s="7"/>
      <c r="AD22" s="7"/>
      <c r="AE22" s="7"/>
      <c r="AF22" s="7"/>
      <c r="AG22" s="7"/>
      <c r="AH22" s="7"/>
      <c r="AI22" s="8"/>
    </row>
    <row r="23" spans="1:35" ht="19" x14ac:dyDescent="0.25">
      <c r="A23" s="24" t="s">
        <v>28</v>
      </c>
      <c r="C23" s="7"/>
      <c r="D23" s="7"/>
      <c r="E23" s="7"/>
      <c r="F23" s="7"/>
      <c r="G23" s="7"/>
      <c r="H23" s="7"/>
      <c r="I23" s="7"/>
      <c r="J23" s="7"/>
      <c r="K23" s="8"/>
      <c r="L23" s="24" t="s">
        <v>31</v>
      </c>
      <c r="N23" s="7"/>
      <c r="O23" s="7"/>
      <c r="P23" s="7"/>
      <c r="Q23" s="8"/>
      <c r="R23" s="31" t="s">
        <v>45</v>
      </c>
      <c r="S23" s="7"/>
      <c r="T23" s="7"/>
      <c r="U23" s="7"/>
      <c r="V23" s="7"/>
      <c r="W23" s="7"/>
      <c r="X23" s="7"/>
      <c r="Y23" s="7"/>
      <c r="Z23" s="8"/>
      <c r="AA23" s="31" t="s">
        <v>152</v>
      </c>
      <c r="AB23" s="7"/>
      <c r="AC23" s="7"/>
      <c r="AD23" s="7"/>
      <c r="AE23" s="7"/>
      <c r="AF23" s="7"/>
      <c r="AG23" s="7"/>
      <c r="AH23" s="7"/>
      <c r="AI23" s="8"/>
    </row>
    <row r="24" spans="1:35" ht="34" x14ac:dyDescent="0.2">
      <c r="A24" s="6"/>
      <c r="B24" s="51"/>
      <c r="C24" s="51" t="s">
        <v>1</v>
      </c>
      <c r="D24" s="51" t="s">
        <v>2</v>
      </c>
      <c r="E24" s="47" t="s">
        <v>3</v>
      </c>
      <c r="F24" s="47" t="s">
        <v>4</v>
      </c>
      <c r="G24" s="48" t="s">
        <v>44</v>
      </c>
      <c r="H24" t="s">
        <v>18</v>
      </c>
      <c r="I24" s="7"/>
      <c r="J24" s="7"/>
      <c r="K24" s="8"/>
      <c r="L24" s="7"/>
      <c r="M24" s="7" t="s">
        <v>29</v>
      </c>
      <c r="N24" s="7">
        <v>2234</v>
      </c>
      <c r="O24" s="7" t="s">
        <v>172</v>
      </c>
      <c r="P24" s="7"/>
      <c r="Q24" s="8"/>
      <c r="R24" s="6"/>
      <c r="S24" s="33" t="s">
        <v>47</v>
      </c>
      <c r="T24" s="28">
        <v>45</v>
      </c>
      <c r="U24" s="7"/>
      <c r="V24" s="7"/>
      <c r="W24" s="14" t="s">
        <v>52</v>
      </c>
      <c r="X24" s="28">
        <v>7.3599999999999999E-2</v>
      </c>
      <c r="Y24" s="7" t="s">
        <v>274</v>
      </c>
      <c r="Z24" s="8"/>
      <c r="AA24" s="6"/>
      <c r="AB24" s="7"/>
      <c r="AC24" s="12" t="s">
        <v>153</v>
      </c>
      <c r="AD24" s="12" t="s">
        <v>154</v>
      </c>
      <c r="AE24" s="7"/>
      <c r="AF24" s="7"/>
      <c r="AG24" s="7" t="s">
        <v>161</v>
      </c>
      <c r="AH24" s="7">
        <f>N59</f>
        <v>391.23754978607303</v>
      </c>
      <c r="AI24" s="8"/>
    </row>
    <row r="25" spans="1:35" ht="34" x14ac:dyDescent="0.2">
      <c r="A25" s="6"/>
      <c r="B25" s="61" t="s">
        <v>17</v>
      </c>
      <c r="C25" t="s">
        <v>5</v>
      </c>
      <c r="D25" s="51">
        <v>1650</v>
      </c>
      <c r="E25" s="54">
        <v>3540</v>
      </c>
      <c r="F25" s="49">
        <f>D25*E25</f>
        <v>5841000</v>
      </c>
      <c r="G25" s="51">
        <v>0.32</v>
      </c>
      <c r="I25" s="7"/>
      <c r="L25" s="7"/>
      <c r="M25" s="7" t="s">
        <v>30</v>
      </c>
      <c r="N25" s="7">
        <f>N24*365</f>
        <v>815410</v>
      </c>
      <c r="O25" s="7"/>
      <c r="P25" s="7"/>
      <c r="Q25" s="8"/>
      <c r="R25" s="6"/>
      <c r="S25" s="33" t="s">
        <v>46</v>
      </c>
      <c r="T25" s="28">
        <v>436</v>
      </c>
      <c r="U25" s="32" t="s">
        <v>218</v>
      </c>
      <c r="V25" s="7"/>
      <c r="W25" s="14" t="s">
        <v>53</v>
      </c>
      <c r="X25" s="28">
        <v>0.222</v>
      </c>
      <c r="Y25" s="32" t="s">
        <v>275</v>
      </c>
      <c r="Z25" s="8"/>
      <c r="AA25" s="6"/>
      <c r="AB25" s="12" t="s">
        <v>151</v>
      </c>
      <c r="AC25" s="36">
        <f>AD56/1000</f>
        <v>594641.71070220461</v>
      </c>
      <c r="AD25" s="36">
        <f>AC25*$AB$39</f>
        <v>285428021.1370582</v>
      </c>
      <c r="AE25" s="7"/>
      <c r="AF25" s="7"/>
      <c r="AG25" s="7" t="s">
        <v>162</v>
      </c>
      <c r="AH25" s="7">
        <f>N52/N51</f>
        <v>579475.04789838311</v>
      </c>
      <c r="AI25" s="8"/>
    </row>
    <row r="26" spans="1:35" ht="34" x14ac:dyDescent="0.2">
      <c r="A26" s="6"/>
      <c r="B26" s="61"/>
      <c r="C26" t="s">
        <v>315</v>
      </c>
      <c r="D26" s="51">
        <v>6000</v>
      </c>
      <c r="E26" s="54">
        <v>1320</v>
      </c>
      <c r="F26" s="49">
        <f t="shared" ref="F26:F32" si="0">D26*E26</f>
        <v>7920000</v>
      </c>
      <c r="G26" s="51">
        <v>0.21</v>
      </c>
      <c r="I26" s="7"/>
      <c r="J26" s="7"/>
      <c r="K26" s="8"/>
      <c r="L26" s="7"/>
      <c r="M26" s="7"/>
      <c r="N26" s="7"/>
      <c r="O26" s="7"/>
      <c r="P26" s="7"/>
      <c r="Q26" s="8"/>
      <c r="R26" s="6"/>
      <c r="S26" s="33" t="s">
        <v>269</v>
      </c>
      <c r="T26" s="28">
        <v>35</v>
      </c>
      <c r="U26" s="7"/>
      <c r="V26" s="7"/>
      <c r="W26" s="14" t="s">
        <v>273</v>
      </c>
      <c r="X26" s="28">
        <v>0.113</v>
      </c>
      <c r="Y26" s="7" t="s">
        <v>274</v>
      </c>
      <c r="Z26" s="8"/>
      <c r="AA26" s="6"/>
      <c r="AB26" s="12" t="s">
        <v>155</v>
      </c>
      <c r="AC26" s="36">
        <f>AD65/1000</f>
        <v>266191.02366315789</v>
      </c>
      <c r="AD26" s="36">
        <f>AC26*$AB$39</f>
        <v>127771691.35831578</v>
      </c>
      <c r="AE26" s="7"/>
      <c r="AF26" s="7"/>
      <c r="AG26" s="7" t="s">
        <v>163</v>
      </c>
      <c r="AH26" s="36">
        <f>AH25*AH24</f>
        <v>226712397.90193072</v>
      </c>
      <c r="AI26" s="8"/>
    </row>
    <row r="27" spans="1:35" ht="16" customHeight="1" x14ac:dyDescent="0.2">
      <c r="A27" s="6"/>
      <c r="B27" s="61"/>
      <c r="C27" t="s">
        <v>120</v>
      </c>
      <c r="D27" s="51">
        <v>2000</v>
      </c>
      <c r="E27" s="54">
        <v>1110</v>
      </c>
      <c r="F27" s="49">
        <f t="shared" si="0"/>
        <v>2220000</v>
      </c>
      <c r="G27" s="51">
        <v>2.1999999999999999E-2</v>
      </c>
      <c r="I27" s="7"/>
      <c r="J27" s="7"/>
      <c r="K27" s="8"/>
      <c r="L27" s="9"/>
      <c r="M27" s="9"/>
      <c r="N27" s="9"/>
      <c r="O27" s="9"/>
      <c r="P27" s="9"/>
      <c r="Q27" s="10"/>
      <c r="R27" s="6"/>
      <c r="S27" s="7"/>
      <c r="T27" s="7"/>
      <c r="U27" s="7"/>
      <c r="V27" s="7"/>
      <c r="W27" s="7"/>
      <c r="X27" s="7"/>
      <c r="Y27" s="7"/>
      <c r="Z27" s="8"/>
      <c r="AA27" s="6"/>
      <c r="AB27" s="12" t="s">
        <v>156</v>
      </c>
      <c r="AC27" s="36">
        <f>AD74/1000</f>
        <v>56326.066285549561</v>
      </c>
      <c r="AD27" s="36">
        <f>AC27*AB40</f>
        <v>13574581.974817444</v>
      </c>
      <c r="AE27" s="7"/>
      <c r="AF27" s="7"/>
      <c r="AG27" s="7"/>
      <c r="AH27" s="7"/>
      <c r="AI27" s="8"/>
    </row>
    <row r="28" spans="1:35" x14ac:dyDescent="0.2">
      <c r="A28" s="6"/>
      <c r="B28" s="61"/>
      <c r="C28" t="s">
        <v>276</v>
      </c>
      <c r="D28" s="51">
        <v>5000</v>
      </c>
      <c r="E28" s="54">
        <v>950</v>
      </c>
      <c r="F28" s="49">
        <f t="shared" si="0"/>
        <v>4750000</v>
      </c>
      <c r="G28" s="51">
        <v>0.21</v>
      </c>
      <c r="I28" s="7"/>
      <c r="J28" s="7"/>
      <c r="K28" s="8"/>
      <c r="L28" s="7"/>
      <c r="M28" s="7"/>
      <c r="N28" s="7"/>
      <c r="O28" s="7"/>
      <c r="P28" s="7"/>
      <c r="Q28" s="8"/>
      <c r="R28" s="6"/>
      <c r="S28" s="7"/>
      <c r="T28" s="7"/>
      <c r="Y28" s="7"/>
      <c r="Z28" s="8"/>
      <c r="AA28" s="6"/>
      <c r="AB28" s="12" t="s">
        <v>157</v>
      </c>
      <c r="AC28" s="36">
        <f>AD85</f>
        <v>25691.866188074458</v>
      </c>
      <c r="AD28" s="36">
        <f>AD86</f>
        <v>22865760.907386266</v>
      </c>
      <c r="AE28" s="7"/>
      <c r="AF28" s="7"/>
      <c r="AG28" s="7"/>
      <c r="AH28" s="7"/>
      <c r="AI28" s="8"/>
    </row>
    <row r="29" spans="1:35" ht="19" x14ac:dyDescent="0.25">
      <c r="A29" s="6"/>
      <c r="B29" s="61"/>
      <c r="C29" t="s">
        <v>311</v>
      </c>
      <c r="D29" s="51">
        <v>5070</v>
      </c>
      <c r="E29" s="54">
        <v>1080</v>
      </c>
      <c r="F29" s="49">
        <f t="shared" si="0"/>
        <v>5475600</v>
      </c>
      <c r="G29" s="51">
        <v>2.5000000000000001E-2</v>
      </c>
      <c r="I29" s="7"/>
      <c r="J29" s="7"/>
      <c r="K29" s="8"/>
      <c r="L29" s="24" t="s">
        <v>32</v>
      </c>
      <c r="N29" s="7"/>
      <c r="O29" s="7"/>
      <c r="P29" s="7"/>
      <c r="Q29" s="8"/>
      <c r="R29" s="6"/>
      <c r="S29" s="7"/>
      <c r="T29" s="7"/>
      <c r="U29" s="28" t="s">
        <v>56</v>
      </c>
      <c r="V29" s="28" t="s">
        <v>57</v>
      </c>
      <c r="W29" s="28" t="s">
        <v>58</v>
      </c>
      <c r="X29" s="7"/>
      <c r="Y29" s="7"/>
      <c r="Z29" s="8"/>
      <c r="AA29" s="6"/>
      <c r="AB29" s="12" t="s">
        <v>158</v>
      </c>
      <c r="AC29" s="36">
        <f>AD95</f>
        <v>7440.2069076305206</v>
      </c>
      <c r="AD29" s="36">
        <f t="shared" ref="AD29" si="1">AC29*$AB$39</f>
        <v>3571299.3156626499</v>
      </c>
      <c r="AE29" s="7"/>
      <c r="AF29" s="7"/>
      <c r="AG29" s="7" t="s">
        <v>164</v>
      </c>
      <c r="AH29" s="7" t="str">
        <f>IF(AD31&gt;AH26,"YES","NO")</f>
        <v>YES</v>
      </c>
      <c r="AI29" s="8"/>
    </row>
    <row r="30" spans="1:35" x14ac:dyDescent="0.2">
      <c r="A30" s="6"/>
      <c r="B30" s="61"/>
      <c r="C30" t="s">
        <v>7</v>
      </c>
      <c r="D30" s="49" t="s">
        <v>16</v>
      </c>
      <c r="E30" s="49" t="s">
        <v>16</v>
      </c>
      <c r="F30" s="49" t="s">
        <v>16</v>
      </c>
      <c r="G30" s="51">
        <v>0</v>
      </c>
      <c r="I30" s="7"/>
      <c r="J30" s="7"/>
      <c r="K30" s="8"/>
      <c r="L30" s="7"/>
      <c r="M30" s="12" t="s">
        <v>34</v>
      </c>
      <c r="N30" s="12" t="s">
        <v>35</v>
      </c>
      <c r="O30" s="12" t="s">
        <v>36</v>
      </c>
      <c r="P30" s="7"/>
      <c r="Q30" s="8"/>
      <c r="R30" s="6"/>
      <c r="T30" s="12"/>
      <c r="U30" s="28" t="s">
        <v>59</v>
      </c>
      <c r="V30" s="28" t="s">
        <v>60</v>
      </c>
      <c r="W30" s="28" t="s">
        <v>61</v>
      </c>
      <c r="X30" s="7" t="s">
        <v>177</v>
      </c>
      <c r="Y30" s="7"/>
      <c r="Z30" s="8"/>
      <c r="AA30" s="6"/>
      <c r="AB30" s="12" t="s">
        <v>159</v>
      </c>
      <c r="AC30" s="36">
        <f>AD103</f>
        <v>207320</v>
      </c>
      <c r="AD30" s="36">
        <f>AD104</f>
        <v>184514800</v>
      </c>
      <c r="AE30" s="7"/>
      <c r="AF30" s="7"/>
      <c r="AG30" s="7" t="s">
        <v>165</v>
      </c>
      <c r="AH30" s="15">
        <f>AD31/AH26</f>
        <v>2.8129302172927586</v>
      </c>
      <c r="AI30" s="8"/>
    </row>
    <row r="31" spans="1:35" x14ac:dyDescent="0.2">
      <c r="A31" s="6"/>
      <c r="B31" s="61"/>
      <c r="C31" t="s">
        <v>8</v>
      </c>
      <c r="D31" s="51" t="s">
        <v>16</v>
      </c>
      <c r="E31" s="49" t="s">
        <v>16</v>
      </c>
      <c r="F31" s="49" t="s">
        <v>16</v>
      </c>
      <c r="G31" s="51">
        <v>0</v>
      </c>
      <c r="I31" s="7"/>
      <c r="J31" s="7"/>
      <c r="K31" s="8"/>
      <c r="L31" s="7"/>
      <c r="M31" s="12" t="s">
        <v>33</v>
      </c>
      <c r="N31" s="12">
        <f>N32*N33</f>
        <v>1136</v>
      </c>
      <c r="O31" s="7"/>
      <c r="P31" s="7"/>
      <c r="Q31" s="8"/>
      <c r="R31" s="6"/>
      <c r="S31" s="33" t="s">
        <v>179</v>
      </c>
      <c r="T31" s="12" t="s">
        <v>62</v>
      </c>
      <c r="U31" s="7">
        <v>700</v>
      </c>
      <c r="V31" s="7">
        <v>1452</v>
      </c>
      <c r="W31" s="7">
        <f>U31*V31</f>
        <v>1016400</v>
      </c>
      <c r="X31" s="32" t="s">
        <v>178</v>
      </c>
      <c r="Y31" s="7"/>
      <c r="Z31" s="8"/>
      <c r="AA31" s="6"/>
      <c r="AB31" s="12" t="s">
        <v>160</v>
      </c>
      <c r="AC31" s="36">
        <f>SUM(AC25:AC30)</f>
        <v>1157610.873746617</v>
      </c>
      <c r="AD31" s="36">
        <f>SUM(AD25:AD30)</f>
        <v>637726154.69324028</v>
      </c>
      <c r="AE31" s="7"/>
      <c r="AF31" s="7"/>
      <c r="AG31" s="11" t="s">
        <v>235</v>
      </c>
      <c r="AH31" s="15">
        <f>(AD25+AD26+AD27+AD30)/AH26</f>
        <v>2.6963196548898822</v>
      </c>
      <c r="AI31" s="8"/>
    </row>
    <row r="32" spans="1:35" x14ac:dyDescent="0.2">
      <c r="A32" s="6"/>
      <c r="B32" s="61"/>
      <c r="C32" t="s">
        <v>277</v>
      </c>
      <c r="D32" s="51">
        <v>12000</v>
      </c>
      <c r="E32" s="54">
        <v>410</v>
      </c>
      <c r="F32" s="49">
        <f t="shared" si="0"/>
        <v>4920000</v>
      </c>
      <c r="G32" s="51">
        <v>1.4999999999999999E-2</v>
      </c>
      <c r="I32" s="7"/>
      <c r="J32" s="7"/>
      <c r="K32" s="8"/>
      <c r="L32" s="7"/>
      <c r="M32" s="7" t="s">
        <v>37</v>
      </c>
      <c r="N32" s="7">
        <v>284</v>
      </c>
      <c r="O32" s="7" t="s">
        <v>283</v>
      </c>
      <c r="P32" s="7"/>
      <c r="Q32" s="8"/>
      <c r="R32" s="6"/>
      <c r="S32" s="7"/>
      <c r="T32" s="12" t="s">
        <v>63</v>
      </c>
      <c r="U32" s="7">
        <v>700</v>
      </c>
      <c r="V32" s="7">
        <v>2151</v>
      </c>
      <c r="W32" s="7">
        <f>U32*V32</f>
        <v>1505700</v>
      </c>
      <c r="X32" s="32" t="s">
        <v>178</v>
      </c>
      <c r="Y32" s="7"/>
      <c r="Z32" s="8"/>
      <c r="AA32" s="6"/>
      <c r="AB32" s="7"/>
      <c r="AC32" s="7"/>
      <c r="AD32" s="7"/>
      <c r="AE32" s="7"/>
      <c r="AF32" s="7"/>
      <c r="AG32" s="11" t="s">
        <v>236</v>
      </c>
      <c r="AH32" s="15">
        <f>(SUM(AD25:AD26)+AD30)/AH26</f>
        <v>2.6364438735014755</v>
      </c>
      <c r="AI32" s="8"/>
    </row>
    <row r="33" spans="1:35" x14ac:dyDescent="0.2">
      <c r="A33" s="6"/>
      <c r="B33" s="61"/>
      <c r="C33" t="s">
        <v>278</v>
      </c>
      <c r="D33" s="49" t="s">
        <v>16</v>
      </c>
      <c r="E33" s="49" t="s">
        <v>16</v>
      </c>
      <c r="F33" s="49" t="s">
        <v>16</v>
      </c>
      <c r="G33" s="51">
        <v>3.5000000000000003E-2</v>
      </c>
      <c r="I33" s="7"/>
      <c r="J33" s="7"/>
      <c r="K33" s="8"/>
      <c r="L33" s="7"/>
      <c r="M33" s="7" t="s">
        <v>38</v>
      </c>
      <c r="N33" s="7">
        <v>4</v>
      </c>
      <c r="O33" s="7"/>
      <c r="P33" s="7"/>
      <c r="Q33" s="8"/>
      <c r="R33" s="6"/>
      <c r="S33" s="7"/>
      <c r="T33" s="12" t="s">
        <v>64</v>
      </c>
      <c r="U33" s="7"/>
      <c r="V33" s="7"/>
      <c r="W33" s="7">
        <v>373646.2</v>
      </c>
      <c r="X33" s="32" t="s">
        <v>178</v>
      </c>
      <c r="Y33" s="7"/>
      <c r="Z33" s="8"/>
      <c r="AA33" s="6"/>
      <c r="AB33" s="7"/>
      <c r="AC33" s="7"/>
      <c r="AD33" s="7"/>
      <c r="AE33" s="7"/>
      <c r="AF33" s="7"/>
      <c r="AG33" s="11" t="s">
        <v>237</v>
      </c>
      <c r="AH33" s="15">
        <f>(AD26+AD30)/AH26</f>
        <v>1.3774566113204005</v>
      </c>
      <c r="AI33" s="8"/>
    </row>
    <row r="34" spans="1:35" ht="16" customHeight="1" x14ac:dyDescent="0.2">
      <c r="A34" s="6"/>
      <c r="B34" s="63" t="s">
        <v>20</v>
      </c>
      <c r="C34" t="s">
        <v>10</v>
      </c>
      <c r="D34" s="51" t="s">
        <v>16</v>
      </c>
      <c r="E34" s="54">
        <v>2370</v>
      </c>
      <c r="F34" s="51" t="s">
        <v>16</v>
      </c>
      <c r="G34" s="51">
        <v>0.01</v>
      </c>
      <c r="H34" t="s">
        <v>19</v>
      </c>
      <c r="I34" s="7"/>
      <c r="J34" s="7"/>
      <c r="K34" s="8"/>
      <c r="L34" s="7"/>
      <c r="M34" s="12" t="s">
        <v>40</v>
      </c>
      <c r="N34" s="12">
        <f>3.39+2.16</f>
        <v>5.5500000000000007</v>
      </c>
      <c r="O34" s="7" t="s">
        <v>284</v>
      </c>
      <c r="P34" s="7"/>
      <c r="Q34" s="8"/>
      <c r="R34" s="6"/>
      <c r="S34" s="7"/>
      <c r="T34" s="12" t="s">
        <v>65</v>
      </c>
      <c r="U34" s="7">
        <f>N31*3</f>
        <v>3408</v>
      </c>
      <c r="V34" s="7">
        <v>1122</v>
      </c>
      <c r="W34" s="7">
        <f>U34*V34</f>
        <v>3823776</v>
      </c>
      <c r="X34" s="32" t="s">
        <v>178</v>
      </c>
      <c r="Y34" s="7"/>
      <c r="Z34" s="8"/>
      <c r="AA34" s="6"/>
      <c r="AB34" s="7"/>
      <c r="AC34" s="7"/>
      <c r="AD34" s="7"/>
      <c r="AE34" s="7"/>
      <c r="AF34" s="7"/>
      <c r="AG34" s="7"/>
      <c r="AH34" s="7"/>
      <c r="AI34" s="8"/>
    </row>
    <row r="35" spans="1:35" ht="16" customHeight="1" x14ac:dyDescent="0.2">
      <c r="A35" s="6"/>
      <c r="B35" s="63"/>
      <c r="C35" t="s">
        <v>11</v>
      </c>
      <c r="D35" s="51" t="s">
        <v>16</v>
      </c>
      <c r="E35" s="54">
        <v>1730</v>
      </c>
      <c r="F35" s="51" t="s">
        <v>16</v>
      </c>
      <c r="G35" s="51">
        <v>0.01</v>
      </c>
      <c r="H35" t="s">
        <v>19</v>
      </c>
      <c r="I35" s="7"/>
      <c r="J35" s="7"/>
      <c r="K35" s="8"/>
      <c r="L35" s="7"/>
      <c r="M35" s="7" t="s">
        <v>39</v>
      </c>
      <c r="N35" s="7">
        <f>N34/N31</f>
        <v>4.8855633802816906E-3</v>
      </c>
      <c r="O35" s="7"/>
      <c r="P35" s="7"/>
      <c r="Q35" s="8"/>
      <c r="R35" s="6"/>
      <c r="S35" s="7"/>
      <c r="T35" s="12" t="s">
        <v>121</v>
      </c>
      <c r="U35" s="7" t="s">
        <v>122</v>
      </c>
      <c r="V35" s="7">
        <v>890</v>
      </c>
      <c r="W35" s="7" t="s">
        <v>122</v>
      </c>
      <c r="X35" s="43" t="s">
        <v>113</v>
      </c>
      <c r="Y35" s="7"/>
      <c r="Z35" s="8"/>
      <c r="AA35" s="6"/>
      <c r="AB35" s="7"/>
      <c r="AC35" s="7"/>
      <c r="AD35" s="7"/>
      <c r="AE35" s="7"/>
      <c r="AF35" s="7"/>
      <c r="AG35" s="7"/>
      <c r="AH35" s="7"/>
      <c r="AI35" s="8"/>
    </row>
    <row r="36" spans="1:35" x14ac:dyDescent="0.2">
      <c r="A36" s="6"/>
      <c r="B36" s="63"/>
      <c r="C36" t="s">
        <v>12</v>
      </c>
      <c r="D36" s="51" t="s">
        <v>16</v>
      </c>
      <c r="E36" s="54">
        <v>1201</v>
      </c>
      <c r="F36" s="51" t="s">
        <v>16</v>
      </c>
      <c r="G36" s="51">
        <v>5.0000000000000001E-3</v>
      </c>
      <c r="I36" s="7"/>
      <c r="J36" s="7"/>
      <c r="K36" s="8"/>
      <c r="L36" s="7"/>
      <c r="M36" s="7"/>
      <c r="N36" s="7"/>
      <c r="O36" s="7"/>
      <c r="P36" s="7"/>
      <c r="Q36" s="8"/>
      <c r="R36" s="6"/>
      <c r="S36" s="7"/>
      <c r="T36" s="7"/>
      <c r="U36" s="7"/>
      <c r="V36" s="7"/>
      <c r="W36" s="7"/>
      <c r="X36" s="7"/>
      <c r="Y36" s="7"/>
      <c r="Z36" s="8"/>
      <c r="AA36" s="6"/>
      <c r="AB36" s="7"/>
      <c r="AC36" s="7"/>
      <c r="AD36" s="7"/>
      <c r="AE36" s="7"/>
      <c r="AF36" s="7"/>
      <c r="AG36" s="7"/>
      <c r="AH36" s="7"/>
      <c r="AI36" s="8"/>
    </row>
    <row r="37" spans="1:35" x14ac:dyDescent="0.2">
      <c r="A37" s="6"/>
      <c r="B37" s="63"/>
      <c r="C37" t="s">
        <v>13</v>
      </c>
      <c r="D37" s="51" t="s">
        <v>16</v>
      </c>
      <c r="E37" s="54">
        <v>1340</v>
      </c>
      <c r="F37" s="51" t="s">
        <v>16</v>
      </c>
      <c r="G37" s="51">
        <v>1E-3</v>
      </c>
      <c r="H37" t="s">
        <v>242</v>
      </c>
      <c r="I37" s="7"/>
      <c r="J37" s="7"/>
      <c r="K37" s="8"/>
      <c r="L37" s="7"/>
      <c r="M37" s="40" t="s">
        <v>239</v>
      </c>
      <c r="N37" s="12" t="s">
        <v>282</v>
      </c>
      <c r="O37" s="7"/>
      <c r="P37" s="7"/>
      <c r="Q37" s="8"/>
      <c r="R37" s="6"/>
      <c r="S37" s="7"/>
      <c r="T37" s="7"/>
      <c r="U37" s="7"/>
      <c r="V37" s="7"/>
      <c r="W37" s="7"/>
      <c r="X37" s="7"/>
      <c r="Y37" s="7"/>
      <c r="Z37" s="8"/>
      <c r="AB37" s="7"/>
      <c r="AC37" s="34"/>
      <c r="AD37" s="34"/>
      <c r="AF37" s="7"/>
      <c r="AG37" s="7"/>
      <c r="AH37" s="7"/>
      <c r="AI37" s="8"/>
    </row>
    <row r="38" spans="1:35" x14ac:dyDescent="0.2">
      <c r="A38" s="6"/>
      <c r="B38" s="63"/>
      <c r="C38" t="s">
        <v>268</v>
      </c>
      <c r="D38" s="51" t="s">
        <v>16</v>
      </c>
      <c r="E38" s="54">
        <v>1480</v>
      </c>
      <c r="F38" s="51" t="s">
        <v>16</v>
      </c>
      <c r="G38" s="51">
        <v>0</v>
      </c>
      <c r="I38" s="7"/>
      <c r="J38" s="7"/>
      <c r="K38" s="8"/>
      <c r="L38" s="7"/>
      <c r="M38" s="40" t="s">
        <v>240</v>
      </c>
      <c r="N38" s="12">
        <f>N31</f>
        <v>1136</v>
      </c>
      <c r="O38" s="7"/>
      <c r="P38" s="7"/>
      <c r="Q38" s="8"/>
      <c r="R38" s="6"/>
      <c r="S38" s="7"/>
      <c r="T38" s="7"/>
      <c r="U38" s="7"/>
      <c r="V38" s="7"/>
      <c r="W38" s="7"/>
      <c r="X38" s="7"/>
      <c r="Y38" s="7"/>
      <c r="Z38" s="8"/>
      <c r="AB38" s="7"/>
      <c r="AC38" s="34"/>
      <c r="AD38" s="34"/>
      <c r="AF38" s="7"/>
      <c r="AG38" s="7"/>
      <c r="AH38" s="7"/>
      <c r="AI38" s="8"/>
    </row>
    <row r="39" spans="1:35" ht="16" customHeight="1" x14ac:dyDescent="0.2">
      <c r="A39" s="6"/>
      <c r="B39" s="63"/>
      <c r="C39" t="s">
        <v>217</v>
      </c>
      <c r="D39" s="51" t="s">
        <v>16</v>
      </c>
      <c r="E39" s="54">
        <v>1600</v>
      </c>
      <c r="F39" s="51" t="s">
        <v>16</v>
      </c>
      <c r="G39" s="51">
        <v>1.4E-2</v>
      </c>
      <c r="I39" s="7"/>
      <c r="J39" s="7"/>
      <c r="K39" s="8"/>
      <c r="L39" s="23"/>
      <c r="M39" s="9"/>
      <c r="N39" s="9"/>
      <c r="O39" s="9"/>
      <c r="P39" s="9"/>
      <c r="Q39" s="10"/>
      <c r="R39" s="6"/>
      <c r="S39" s="7"/>
      <c r="T39" s="7"/>
      <c r="U39" s="7"/>
      <c r="V39" s="7"/>
      <c r="W39" s="7"/>
      <c r="X39" s="7"/>
      <c r="Y39" s="7"/>
      <c r="Z39" s="8"/>
      <c r="AA39" s="21" t="s">
        <v>186</v>
      </c>
      <c r="AB39" s="34">
        <v>480</v>
      </c>
      <c r="AC39" s="35" t="s">
        <v>225</v>
      </c>
      <c r="AD39" s="7"/>
      <c r="AE39" s="7"/>
      <c r="AF39" s="7"/>
      <c r="AG39" s="7"/>
      <c r="AH39" s="7"/>
      <c r="AI39" s="8"/>
    </row>
    <row r="40" spans="1:35" x14ac:dyDescent="0.2">
      <c r="A40" s="6"/>
      <c r="B40" s="63" t="s">
        <v>21</v>
      </c>
      <c r="C40" t="s">
        <v>14</v>
      </c>
      <c r="D40" s="51" t="s">
        <v>16</v>
      </c>
      <c r="E40" s="54">
        <v>2370</v>
      </c>
      <c r="F40" s="51" t="s">
        <v>16</v>
      </c>
      <c r="G40" s="51">
        <v>1.4999999999999999E-2</v>
      </c>
      <c r="I40" s="7"/>
      <c r="J40" s="7"/>
      <c r="K40" s="8"/>
      <c r="L40" s="7"/>
      <c r="M40" s="7"/>
      <c r="N40" s="7"/>
      <c r="O40" s="7"/>
      <c r="P40" s="7"/>
      <c r="Q40" s="8"/>
      <c r="R40" s="26"/>
      <c r="S40" s="4"/>
      <c r="T40" s="4"/>
      <c r="U40" s="4"/>
      <c r="V40" s="5"/>
      <c r="W40" s="4"/>
      <c r="X40" s="4"/>
      <c r="Y40" s="4"/>
      <c r="Z40" s="5"/>
      <c r="AA40" s="21" t="s">
        <v>223</v>
      </c>
      <c r="AB40" s="7">
        <v>241</v>
      </c>
      <c r="AC40" s="7" t="s">
        <v>224</v>
      </c>
      <c r="AD40" s="7"/>
      <c r="AE40" s="7"/>
      <c r="AF40" s="7"/>
      <c r="AG40" s="7"/>
      <c r="AH40" s="7"/>
      <c r="AI40" s="8"/>
    </row>
    <row r="41" spans="1:35" ht="19" x14ac:dyDescent="0.25">
      <c r="A41" s="6"/>
      <c r="B41" s="63"/>
      <c r="C41" t="s">
        <v>15</v>
      </c>
      <c r="D41" s="51" t="s">
        <v>16</v>
      </c>
      <c r="E41" s="54">
        <v>890</v>
      </c>
      <c r="F41" s="51" t="s">
        <v>16</v>
      </c>
      <c r="G41" s="51">
        <v>1.6E-2</v>
      </c>
      <c r="I41" s="7"/>
      <c r="J41" s="7"/>
      <c r="K41" s="8"/>
      <c r="L41" s="24" t="s">
        <v>180</v>
      </c>
      <c r="M41" s="7"/>
      <c r="N41" s="7"/>
      <c r="O41" s="7"/>
      <c r="P41" s="7"/>
      <c r="Q41" s="8"/>
      <c r="R41" s="37" t="s">
        <v>188</v>
      </c>
      <c r="S41" s="7"/>
      <c r="T41" s="7"/>
      <c r="U41" s="7"/>
      <c r="V41" s="8"/>
      <c r="Z41" s="8"/>
      <c r="AA41" s="6"/>
      <c r="AB41" s="7"/>
      <c r="AC41" s="7"/>
      <c r="AD41" s="7"/>
      <c r="AE41" s="7"/>
      <c r="AF41" s="7"/>
      <c r="AG41" s="7"/>
      <c r="AH41" s="7"/>
      <c r="AI41" s="8"/>
    </row>
    <row r="42" spans="1:35" x14ac:dyDescent="0.2">
      <c r="A42" s="6"/>
      <c r="B42" s="63"/>
      <c r="C42" t="s">
        <v>279</v>
      </c>
      <c r="D42" s="51" t="s">
        <v>16</v>
      </c>
      <c r="E42" s="54">
        <v>1201</v>
      </c>
      <c r="F42" s="51" t="s">
        <v>16</v>
      </c>
      <c r="G42" s="51">
        <v>3.2000000000000001E-2</v>
      </c>
      <c r="H42" t="s">
        <v>171</v>
      </c>
      <c r="I42" s="7"/>
      <c r="J42" s="7"/>
      <c r="K42" s="8"/>
      <c r="L42" s="7"/>
      <c r="M42" s="12" t="s">
        <v>86</v>
      </c>
      <c r="N42" s="12">
        <v>12.9</v>
      </c>
      <c r="O42" s="32" t="s">
        <v>181</v>
      </c>
      <c r="P42" s="7"/>
      <c r="Q42" s="8"/>
      <c r="R42" s="52"/>
      <c r="S42" s="52" t="s">
        <v>193</v>
      </c>
      <c r="T42" s="28" t="s">
        <v>194</v>
      </c>
      <c r="U42" s="7"/>
      <c r="V42" s="8"/>
      <c r="Z42" s="8"/>
      <c r="AA42" s="6"/>
      <c r="AB42" s="7"/>
      <c r="AC42" s="7"/>
      <c r="AD42" s="7"/>
      <c r="AE42" s="7"/>
      <c r="AF42" s="7"/>
      <c r="AG42" s="7"/>
      <c r="AH42" s="7"/>
      <c r="AI42" s="8"/>
    </row>
    <row r="43" spans="1:35" x14ac:dyDescent="0.2">
      <c r="A43" s="6"/>
      <c r="B43" s="63"/>
      <c r="C43" t="s">
        <v>280</v>
      </c>
      <c r="D43" s="51" t="s">
        <v>16</v>
      </c>
      <c r="E43" s="54">
        <v>830</v>
      </c>
      <c r="F43" s="51" t="s">
        <v>16</v>
      </c>
      <c r="G43" s="51">
        <v>0.06</v>
      </c>
      <c r="I43" s="7"/>
      <c r="J43" s="7"/>
      <c r="K43" s="8"/>
      <c r="L43" s="7"/>
      <c r="M43" s="12" t="s">
        <v>85</v>
      </c>
      <c r="N43" s="12">
        <v>1.29</v>
      </c>
      <c r="O43" s="7"/>
      <c r="P43" s="7"/>
      <c r="Q43" s="8"/>
      <c r="R43" s="38" t="s">
        <v>189</v>
      </c>
      <c r="S43" s="28" t="s">
        <v>190</v>
      </c>
      <c r="T43" s="28" t="s">
        <v>195</v>
      </c>
      <c r="U43" s="7"/>
      <c r="V43" s="8"/>
      <c r="Z43" s="8"/>
      <c r="AA43" s="6"/>
      <c r="AB43" s="7"/>
      <c r="AC43" s="7"/>
      <c r="AD43" s="7"/>
      <c r="AE43" s="7"/>
      <c r="AF43" s="7"/>
      <c r="AG43" s="7"/>
      <c r="AH43" s="7"/>
      <c r="AI43" s="8"/>
    </row>
    <row r="44" spans="1:35" x14ac:dyDescent="0.2">
      <c r="A44" s="6"/>
      <c r="F44" s="29" t="s">
        <v>208</v>
      </c>
      <c r="G44" s="42">
        <f>SUM(G25:G28)</f>
        <v>0.76200000000000001</v>
      </c>
      <c r="I44" s="7"/>
      <c r="J44" s="7"/>
      <c r="K44" s="8"/>
      <c r="L44" s="7"/>
      <c r="M44" s="12" t="s">
        <v>79</v>
      </c>
      <c r="N44" s="12">
        <v>20</v>
      </c>
      <c r="O44" s="7"/>
      <c r="P44" s="7"/>
      <c r="Q44" s="8"/>
      <c r="R44" s="38" t="s">
        <v>191</v>
      </c>
      <c r="S44" s="28" t="s">
        <v>192</v>
      </c>
      <c r="T44" s="28" t="s">
        <v>196</v>
      </c>
      <c r="U44" s="7"/>
      <c r="V44" s="8"/>
      <c r="Z44" s="8"/>
      <c r="AA44" s="6"/>
      <c r="AB44" s="7"/>
      <c r="AC44" s="7"/>
      <c r="AD44" s="7"/>
      <c r="AE44" s="7"/>
      <c r="AF44" s="7"/>
      <c r="AG44" s="7"/>
      <c r="AH44" s="7"/>
      <c r="AI44" s="8"/>
    </row>
    <row r="45" spans="1:35" x14ac:dyDescent="0.2">
      <c r="A45" s="23"/>
      <c r="B45" s="9"/>
      <c r="C45" s="9"/>
      <c r="D45" s="9"/>
      <c r="E45" s="9"/>
      <c r="F45" s="9"/>
      <c r="G45" s="9"/>
      <c r="H45" s="9"/>
      <c r="I45" s="9"/>
      <c r="J45" s="9"/>
      <c r="K45" s="10"/>
      <c r="L45" s="9"/>
      <c r="M45" s="9"/>
      <c r="N45" s="9"/>
      <c r="O45" s="9"/>
      <c r="P45" s="9"/>
      <c r="Q45" s="10"/>
      <c r="R45" s="23"/>
      <c r="S45" s="9"/>
      <c r="T45" s="9"/>
      <c r="U45" s="9"/>
      <c r="V45" s="10"/>
      <c r="W45" s="9"/>
      <c r="X45" s="9"/>
      <c r="Y45" s="9"/>
      <c r="Z45" s="10"/>
      <c r="AA45" s="23"/>
      <c r="AB45" s="9"/>
      <c r="AC45" s="9"/>
      <c r="AD45" s="9"/>
      <c r="AE45" s="9"/>
      <c r="AF45" s="9"/>
      <c r="AG45" s="9"/>
      <c r="AH45" s="9"/>
      <c r="AI45" s="10"/>
    </row>
    <row r="46" spans="1:35" x14ac:dyDescent="0.2">
      <c r="K46" s="5"/>
      <c r="Q46" s="5"/>
      <c r="V46" s="5"/>
      <c r="Z46" s="5"/>
      <c r="AA46" s="26"/>
      <c r="AB46" s="4"/>
      <c r="AC46" s="4"/>
      <c r="AD46" s="4"/>
      <c r="AE46" s="4"/>
      <c r="AF46" s="4"/>
      <c r="AG46" s="4"/>
      <c r="AH46" s="4"/>
      <c r="AI46" s="5"/>
    </row>
    <row r="47" spans="1:35" ht="19" x14ac:dyDescent="0.25">
      <c r="A47" s="1" t="s">
        <v>173</v>
      </c>
      <c r="K47" s="8"/>
      <c r="L47" s="1" t="s">
        <v>175</v>
      </c>
      <c r="Q47" s="8"/>
      <c r="R47" s="1" t="s">
        <v>182</v>
      </c>
      <c r="T47" s="29" t="s">
        <v>197</v>
      </c>
      <c r="U47" s="3">
        <f>SUM(T58,T70,T82)</f>
        <v>85.199999999999989</v>
      </c>
      <c r="V47" s="8"/>
      <c r="W47" s="1" t="s">
        <v>75</v>
      </c>
      <c r="Z47" s="8"/>
      <c r="AA47" s="44" t="s">
        <v>185</v>
      </c>
      <c r="AB47" s="7"/>
      <c r="AC47" s="7"/>
      <c r="AD47" s="7"/>
      <c r="AE47" s="7"/>
      <c r="AF47" s="7"/>
      <c r="AG47" s="7"/>
      <c r="AH47" s="7"/>
      <c r="AI47" s="8"/>
    </row>
    <row r="48" spans="1:35" x14ac:dyDescent="0.2">
      <c r="B48" s="3" t="s">
        <v>5</v>
      </c>
      <c r="D48" s="29" t="s">
        <v>174</v>
      </c>
      <c r="E48" s="53">
        <f>SUM(D54,G50)</f>
        <v>97.017834415944108</v>
      </c>
      <c r="K48" s="8"/>
      <c r="L48" s="29" t="s">
        <v>66</v>
      </c>
      <c r="Q48" s="8"/>
      <c r="R48" s="3" t="s">
        <v>78</v>
      </c>
      <c r="V48" s="8"/>
      <c r="X48" t="s">
        <v>219</v>
      </c>
      <c r="Y48">
        <v>90</v>
      </c>
      <c r="Z48" s="8" t="s">
        <v>310</v>
      </c>
      <c r="AA48" s="6"/>
      <c r="AB48" s="7"/>
      <c r="AC48" s="7"/>
      <c r="AD48" s="7"/>
      <c r="AE48" s="7"/>
      <c r="AF48" s="7"/>
      <c r="AG48" s="7"/>
      <c r="AH48" s="7"/>
      <c r="AI48" s="8"/>
    </row>
    <row r="49" spans="1:35" x14ac:dyDescent="0.2">
      <c r="C49" t="s">
        <v>22</v>
      </c>
      <c r="D49">
        <f>N25*G25</f>
        <v>260931.20000000001</v>
      </c>
      <c r="F49" t="s">
        <v>206</v>
      </c>
      <c r="G49">
        <v>0.3</v>
      </c>
      <c r="K49" s="8"/>
      <c r="M49" t="s">
        <v>67</v>
      </c>
      <c r="N49">
        <f>N25*G34</f>
        <v>8154.1</v>
      </c>
      <c r="Q49" s="8"/>
      <c r="V49" s="8"/>
      <c r="X49" t="s">
        <v>76</v>
      </c>
      <c r="Y49">
        <f>Y48/100/100</f>
        <v>9.0000000000000011E-3</v>
      </c>
      <c r="Z49" s="8"/>
      <c r="AA49" s="6"/>
      <c r="AB49" s="12" t="s">
        <v>5</v>
      </c>
      <c r="AC49" s="7"/>
      <c r="AD49" s="7"/>
      <c r="AE49" s="7"/>
      <c r="AF49" s="7"/>
      <c r="AG49" s="7"/>
      <c r="AH49" s="7"/>
      <c r="AI49" s="8"/>
    </row>
    <row r="50" spans="1:35" x14ac:dyDescent="0.2">
      <c r="C50" t="s">
        <v>23</v>
      </c>
      <c r="D50">
        <v>0.02</v>
      </c>
      <c r="E50" s="16" t="s">
        <v>41</v>
      </c>
      <c r="F50" t="s">
        <v>207</v>
      </c>
      <c r="G50" s="18">
        <f>G49*D54</f>
        <v>22.388731019064025</v>
      </c>
      <c r="K50" s="8"/>
      <c r="M50" t="s">
        <v>48</v>
      </c>
      <c r="N50">
        <f>N49/E34</f>
        <v>3.4405485232067514</v>
      </c>
      <c r="Q50" s="8"/>
      <c r="S50" t="s">
        <v>204</v>
      </c>
      <c r="T50">
        <v>8</v>
      </c>
      <c r="U50" t="s">
        <v>286</v>
      </c>
      <c r="V50" s="8"/>
      <c r="X50" t="s">
        <v>77</v>
      </c>
      <c r="Y50">
        <f>1/Y49</f>
        <v>111.1111111111111</v>
      </c>
      <c r="Z50" s="8"/>
      <c r="AA50" s="6"/>
      <c r="AB50" s="7"/>
      <c r="AC50" s="7" t="s">
        <v>119</v>
      </c>
      <c r="AD50" s="13">
        <f>650*10000</f>
        <v>6500000</v>
      </c>
      <c r="AE50" s="7"/>
      <c r="AF50" s="7"/>
      <c r="AG50" s="7"/>
      <c r="AH50" s="7"/>
      <c r="AI50" s="8"/>
    </row>
    <row r="51" spans="1:35" x14ac:dyDescent="0.2">
      <c r="C51" t="s">
        <v>24</v>
      </c>
      <c r="D51">
        <v>0.3</v>
      </c>
      <c r="K51" s="8"/>
      <c r="M51" t="s">
        <v>68</v>
      </c>
      <c r="N51">
        <f>N50/X25/T24</f>
        <v>0.34439925157224738</v>
      </c>
      <c r="Q51" s="8"/>
      <c r="S51" t="s">
        <v>205</v>
      </c>
      <c r="T51">
        <f>T50*1000</f>
        <v>8000</v>
      </c>
      <c r="U51" t="s">
        <v>178</v>
      </c>
      <c r="V51" s="8"/>
      <c r="X51" t="s">
        <v>221</v>
      </c>
      <c r="Y51">
        <f>SUM(G40:G42)</f>
        <v>6.3E-2</v>
      </c>
      <c r="Z51" s="8"/>
      <c r="AA51" s="6"/>
      <c r="AB51" s="7"/>
      <c r="AC51" s="7" t="s">
        <v>111</v>
      </c>
      <c r="AD51">
        <v>0.79600000000000004</v>
      </c>
      <c r="AE51" s="7" t="s">
        <v>178</v>
      </c>
      <c r="AF51" s="7"/>
      <c r="AG51" s="7"/>
      <c r="AH51" s="7"/>
      <c r="AI51" s="8"/>
    </row>
    <row r="52" spans="1:35" x14ac:dyDescent="0.2">
      <c r="C52" t="s">
        <v>25</v>
      </c>
      <c r="D52" s="18">
        <f>F25*(1-(SUM(D50:D51)))</f>
        <v>3971879.9999999995</v>
      </c>
      <c r="K52" s="8"/>
      <c r="M52" t="s">
        <v>69</v>
      </c>
      <c r="N52">
        <f>(70*(N51*T24)^0.75)*365</f>
        <v>199570.77280099536</v>
      </c>
      <c r="Q52" s="8"/>
      <c r="S52" t="s">
        <v>203</v>
      </c>
      <c r="T52">
        <f>T51/N44</f>
        <v>400</v>
      </c>
      <c r="V52" s="8"/>
      <c r="X52" s="3" t="s">
        <v>220</v>
      </c>
      <c r="Y52" s="3">
        <f>Y51*Y50*N38</f>
        <v>7951.9999999999991</v>
      </c>
      <c r="Z52" s="8"/>
      <c r="AA52" s="6"/>
      <c r="AB52" s="7"/>
      <c r="AC52" s="7" t="s">
        <v>112</v>
      </c>
      <c r="AD52">
        <v>0.1</v>
      </c>
      <c r="AE52" s="7" t="s">
        <v>113</v>
      </c>
      <c r="AF52" s="7"/>
      <c r="AG52" s="7"/>
      <c r="AH52" s="7"/>
      <c r="AI52" s="8"/>
    </row>
    <row r="53" spans="1:35" x14ac:dyDescent="0.2">
      <c r="C53" t="s">
        <v>26</v>
      </c>
      <c r="D53" s="18">
        <f>D49/D52</f>
        <v>6.5694633271901476E-2</v>
      </c>
      <c r="K53" s="8"/>
      <c r="M53" t="s">
        <v>124</v>
      </c>
      <c r="N53">
        <v>0.9</v>
      </c>
      <c r="O53" s="60">
        <f>SUM(N53:N54)</f>
        <v>1</v>
      </c>
      <c r="Q53" s="8"/>
      <c r="S53" t="s">
        <v>202</v>
      </c>
      <c r="T53">
        <v>551</v>
      </c>
      <c r="V53" s="8"/>
      <c r="Z53" s="8"/>
      <c r="AA53" s="6"/>
      <c r="AB53" s="7"/>
      <c r="AC53" s="7" t="s">
        <v>198</v>
      </c>
      <c r="AD53">
        <f>(AD50)*AD51*(1-AD52)/0.45</f>
        <v>10348000</v>
      </c>
      <c r="AE53" s="7" t="s">
        <v>199</v>
      </c>
      <c r="AF53" s="7"/>
      <c r="AG53" s="7"/>
      <c r="AH53" s="7"/>
      <c r="AI53" s="8"/>
    </row>
    <row r="54" spans="1:35" x14ac:dyDescent="0.2">
      <c r="C54" t="s">
        <v>27</v>
      </c>
      <c r="D54" s="18">
        <f>D53*N38</f>
        <v>74.629103396880083</v>
      </c>
      <c r="K54" s="8"/>
      <c r="M54" t="s">
        <v>70</v>
      </c>
      <c r="N54">
        <v>0.1</v>
      </c>
      <c r="O54" s="60"/>
      <c r="Q54" s="8"/>
      <c r="S54" t="s">
        <v>80</v>
      </c>
      <c r="T54">
        <f>T53*N44/1000</f>
        <v>11.02</v>
      </c>
      <c r="V54" s="8"/>
      <c r="W54" s="23"/>
      <c r="X54" s="9"/>
      <c r="Y54" s="9"/>
      <c r="Z54" s="10"/>
      <c r="AA54" s="6"/>
      <c r="AB54" s="7"/>
      <c r="AC54" s="7" t="s">
        <v>114</v>
      </c>
      <c r="AD54">
        <v>0.23</v>
      </c>
      <c r="AE54" s="7"/>
      <c r="AF54" s="7"/>
      <c r="AG54" s="7"/>
      <c r="AH54" s="7"/>
      <c r="AI54" s="8"/>
    </row>
    <row r="55" spans="1:35" x14ac:dyDescent="0.2">
      <c r="A55" s="9"/>
      <c r="B55" s="9"/>
      <c r="C55" s="9"/>
      <c r="D55" s="9"/>
      <c r="E55" s="9"/>
      <c r="F55" s="9"/>
      <c r="G55" s="9"/>
      <c r="H55" s="9"/>
      <c r="I55" s="9"/>
      <c r="J55" s="9"/>
      <c r="K55" s="10"/>
      <c r="Q55" s="8"/>
      <c r="S55" t="s">
        <v>81</v>
      </c>
      <c r="T55">
        <f>AVERAGE(T52,T53)</f>
        <v>475.5</v>
      </c>
      <c r="V55" s="8"/>
      <c r="Z55" s="8"/>
      <c r="AA55" s="6"/>
      <c r="AB55" s="7"/>
      <c r="AC55" s="7" t="s">
        <v>200</v>
      </c>
      <c r="AD55" s="17">
        <f>AD53*(1-AD54)*(D53)</f>
        <v>523452.21012518008</v>
      </c>
      <c r="AE55" s="7"/>
      <c r="AF55" s="7"/>
      <c r="AG55" s="7"/>
      <c r="AH55" s="7"/>
      <c r="AI55" s="8"/>
    </row>
    <row r="56" spans="1:35" x14ac:dyDescent="0.2">
      <c r="K56" s="8"/>
      <c r="M56" t="s">
        <v>71</v>
      </c>
      <c r="N56">
        <f>(N54*N52)/W33</f>
        <v>5.341169609138146E-2</v>
      </c>
      <c r="Q56" s="8"/>
      <c r="S56" t="s">
        <v>82</v>
      </c>
      <c r="T56">
        <f>T55*N38</f>
        <v>540168</v>
      </c>
      <c r="V56" s="8"/>
      <c r="Z56" s="8"/>
      <c r="AA56" s="6"/>
      <c r="AB56" s="7"/>
      <c r="AC56" s="7" t="s">
        <v>201</v>
      </c>
      <c r="AD56">
        <f>AD55*N31</f>
        <v>594641710.70220459</v>
      </c>
      <c r="AE56" s="7"/>
      <c r="AF56" s="7"/>
      <c r="AG56" s="7"/>
      <c r="AH56" s="7"/>
      <c r="AI56" s="8"/>
    </row>
    <row r="57" spans="1:35" ht="19" x14ac:dyDescent="0.25">
      <c r="B57" s="3" t="s">
        <v>107</v>
      </c>
      <c r="D57" s="3" t="s">
        <v>43</v>
      </c>
      <c r="E57" s="53">
        <f>D64+(D72-G69)+(D80-G77)+G64+(D88+G83)</f>
        <v>120.10827171695908</v>
      </c>
      <c r="K57" s="8"/>
      <c r="M57" t="s">
        <v>72</v>
      </c>
      <c r="N57">
        <f>SUM(N55:N56)</f>
        <v>5.341169609138146E-2</v>
      </c>
      <c r="Q57" s="8"/>
      <c r="S57" t="s">
        <v>83</v>
      </c>
      <c r="T57">
        <f>T56/N43</f>
        <v>418734.8837209302</v>
      </c>
      <c r="V57" s="8"/>
      <c r="W57" s="27"/>
      <c r="Z57" s="8"/>
      <c r="AA57" s="6"/>
      <c r="AB57" s="7"/>
      <c r="AC57" s="7"/>
      <c r="AD57" s="7"/>
      <c r="AE57" s="7"/>
      <c r="AF57" s="7"/>
      <c r="AG57" s="7"/>
      <c r="AH57" s="7"/>
      <c r="AI57" s="8"/>
    </row>
    <row r="58" spans="1:35" x14ac:dyDescent="0.2">
      <c r="C58" s="3" t="s">
        <v>318</v>
      </c>
      <c r="K58" s="8"/>
      <c r="M58" s="3" t="s">
        <v>73</v>
      </c>
      <c r="N58" s="3">
        <f>N57*N31</f>
        <v>60.675686759809338</v>
      </c>
      <c r="Q58" s="8"/>
      <c r="S58" t="s">
        <v>84</v>
      </c>
      <c r="T58">
        <f>T57/10000</f>
        <v>41.873488372093021</v>
      </c>
      <c r="V58" s="8"/>
      <c r="X58" s="7"/>
      <c r="Y58" s="7"/>
      <c r="Z58" s="8"/>
      <c r="AA58" s="6"/>
      <c r="AB58" s="12" t="s">
        <v>116</v>
      </c>
      <c r="AC58" s="7"/>
      <c r="AD58" s="7"/>
      <c r="AE58" s="7"/>
      <c r="AF58" s="7"/>
      <c r="AG58" s="7"/>
      <c r="AH58" s="7"/>
      <c r="AI58" s="8"/>
    </row>
    <row r="59" spans="1:35" x14ac:dyDescent="0.2">
      <c r="C59" t="s">
        <v>22</v>
      </c>
      <c r="D59">
        <f>G28*N25</f>
        <v>171236.1</v>
      </c>
      <c r="F59" t="s">
        <v>210</v>
      </c>
      <c r="K59" s="8"/>
      <c r="M59" s="3" t="s">
        <v>74</v>
      </c>
      <c r="N59" s="3">
        <f>N51*N31</f>
        <v>391.23754978607303</v>
      </c>
      <c r="Q59" s="8"/>
      <c r="V59" s="8"/>
      <c r="X59" s="39"/>
      <c r="Y59" s="7"/>
      <c r="Z59" s="8"/>
      <c r="AA59" s="6"/>
      <c r="AB59" s="7"/>
      <c r="AC59" s="7" t="s">
        <v>110</v>
      </c>
      <c r="AD59" s="13">
        <f>650*10000</f>
        <v>6500000</v>
      </c>
      <c r="AE59" s="7"/>
      <c r="AF59" s="7"/>
      <c r="AH59" s="7"/>
      <c r="AI59" s="8"/>
    </row>
    <row r="60" spans="1:35" x14ac:dyDescent="0.2">
      <c r="C60" t="s">
        <v>23</v>
      </c>
      <c r="D60">
        <v>0.1</v>
      </c>
      <c r="F60" t="s">
        <v>42</v>
      </c>
      <c r="G60">
        <v>0.1</v>
      </c>
      <c r="K60" s="8"/>
      <c r="M60" s="3" t="s">
        <v>123</v>
      </c>
      <c r="N60" s="3">
        <f>N59*(N52/N51)</f>
        <v>226712397.90193072</v>
      </c>
      <c r="Q60" s="8"/>
      <c r="V60" s="8"/>
      <c r="W60" s="7"/>
      <c r="X60" s="7"/>
      <c r="Y60" s="7"/>
      <c r="Z60" s="8"/>
      <c r="AA60" s="6"/>
      <c r="AB60" s="7"/>
      <c r="AC60" s="7" t="s">
        <v>111</v>
      </c>
      <c r="AD60" s="7">
        <v>0.6</v>
      </c>
      <c r="AE60" t="s">
        <v>231</v>
      </c>
      <c r="AF60" s="7"/>
      <c r="AG60" s="7"/>
      <c r="AH60" s="7"/>
      <c r="AI60" s="8"/>
    </row>
    <row r="61" spans="1:35" x14ac:dyDescent="0.2">
      <c r="C61" t="s">
        <v>24</v>
      </c>
      <c r="D61">
        <v>0.3</v>
      </c>
      <c r="F61" t="s">
        <v>6</v>
      </c>
      <c r="G61">
        <v>0</v>
      </c>
      <c r="K61" s="8"/>
      <c r="Q61" s="8"/>
      <c r="R61" s="3" t="s">
        <v>94</v>
      </c>
      <c r="V61" s="8"/>
      <c r="X61" s="55"/>
      <c r="Y61" s="45"/>
      <c r="Z61" s="8"/>
      <c r="AA61" s="6"/>
      <c r="AB61" s="7"/>
      <c r="AC61" s="7" t="s">
        <v>112</v>
      </c>
      <c r="AD61" s="7">
        <v>0.1</v>
      </c>
      <c r="AF61" s="7"/>
      <c r="AG61" s="7"/>
      <c r="AH61" s="7"/>
      <c r="AI61" s="8"/>
    </row>
    <row r="62" spans="1:35" x14ac:dyDescent="0.2">
      <c r="C62" t="s">
        <v>25</v>
      </c>
      <c r="D62" s="18">
        <f>F28*(1-(D60+D61))</f>
        <v>2850000</v>
      </c>
      <c r="F62" t="s">
        <v>247</v>
      </c>
      <c r="G62">
        <v>0</v>
      </c>
      <c r="K62" s="8"/>
      <c r="Q62" s="8"/>
      <c r="S62" t="s">
        <v>95</v>
      </c>
      <c r="T62">
        <v>30</v>
      </c>
      <c r="U62" s="16" t="s">
        <v>178</v>
      </c>
      <c r="V62" s="8"/>
      <c r="X62" s="40"/>
      <c r="Y62" s="3"/>
      <c r="Z62" s="8"/>
      <c r="AA62" s="6"/>
      <c r="AB62" s="7"/>
      <c r="AC62" s="7" t="s">
        <v>118</v>
      </c>
      <c r="AD62">
        <f>(AD59)*AD60*(1-AD61)/0.45</f>
        <v>7800000</v>
      </c>
      <c r="AF62" s="7"/>
      <c r="AG62" s="7"/>
      <c r="AH62" s="7"/>
      <c r="AI62" s="8"/>
    </row>
    <row r="63" spans="1:35" x14ac:dyDescent="0.2">
      <c r="C63" t="s">
        <v>26</v>
      </c>
      <c r="D63" s="18">
        <f>D59/D62</f>
        <v>6.0082842105263157E-2</v>
      </c>
      <c r="F63" t="s">
        <v>281</v>
      </c>
      <c r="G63">
        <v>0.1</v>
      </c>
      <c r="K63" s="8"/>
      <c r="Q63" s="8"/>
      <c r="S63" t="s">
        <v>96</v>
      </c>
      <c r="T63">
        <v>1.5</v>
      </c>
      <c r="U63" s="45" t="s">
        <v>250</v>
      </c>
      <c r="V63" s="8"/>
      <c r="X63" s="11"/>
      <c r="Z63" s="8"/>
      <c r="AA63" s="6"/>
      <c r="AB63" s="7"/>
      <c r="AC63" s="7" t="s">
        <v>114</v>
      </c>
      <c r="AD63" s="7">
        <v>0.5</v>
      </c>
      <c r="AE63" t="s">
        <v>232</v>
      </c>
      <c r="AF63" s="7"/>
      <c r="AG63" s="7"/>
      <c r="AH63" s="7"/>
      <c r="AI63" s="8"/>
    </row>
    <row r="64" spans="1:35" x14ac:dyDescent="0.2">
      <c r="C64" t="s">
        <v>27</v>
      </c>
      <c r="D64" s="18">
        <f>D63*N38</f>
        <v>68.254108631578944</v>
      </c>
      <c r="F64" t="s">
        <v>207</v>
      </c>
      <c r="G64" s="18">
        <f>G60*D64</f>
        <v>6.8254108631578951</v>
      </c>
      <c r="K64" s="8"/>
      <c r="L64" s="29" t="s">
        <v>176</v>
      </c>
      <c r="Q64" s="8"/>
      <c r="S64" t="s">
        <v>97</v>
      </c>
      <c r="T64">
        <f>T63*T62</f>
        <v>45</v>
      </c>
      <c r="U64" s="16"/>
      <c r="V64" s="8"/>
      <c r="Z64" s="8"/>
      <c r="AA64" s="6"/>
      <c r="AB64" s="7"/>
      <c r="AC64" s="7" t="s">
        <v>115</v>
      </c>
      <c r="AD64" s="17">
        <f>AD62*(1-AD63)*D63</f>
        <v>234323.08421052631</v>
      </c>
      <c r="AE64" s="7"/>
      <c r="AF64" s="7"/>
      <c r="AG64" s="7"/>
      <c r="AH64" s="7"/>
      <c r="AI64" s="8"/>
    </row>
    <row r="65" spans="3:35" x14ac:dyDescent="0.2">
      <c r="K65" s="8"/>
      <c r="L65" s="30"/>
      <c r="M65" t="s">
        <v>51</v>
      </c>
      <c r="N65">
        <f>N25*G37</f>
        <v>815.41</v>
      </c>
      <c r="Q65" s="8"/>
      <c r="S65" t="s">
        <v>98</v>
      </c>
      <c r="T65">
        <v>2</v>
      </c>
      <c r="U65" s="16" t="s">
        <v>178</v>
      </c>
      <c r="V65" s="8"/>
      <c r="Z65" s="8"/>
      <c r="AA65" s="6"/>
      <c r="AB65" s="7"/>
      <c r="AC65" s="7" t="s">
        <v>117</v>
      </c>
      <c r="AD65" s="7">
        <f>AD64*N31</f>
        <v>266191023.66315788</v>
      </c>
      <c r="AE65" s="7"/>
      <c r="AF65" s="7"/>
      <c r="AG65" s="7"/>
      <c r="AH65" s="7"/>
      <c r="AI65" s="8"/>
    </row>
    <row r="66" spans="3:35" x14ac:dyDescent="0.2">
      <c r="C66" s="3" t="s">
        <v>312</v>
      </c>
      <c r="K66" s="8"/>
      <c r="M66" t="s">
        <v>48</v>
      </c>
      <c r="N66">
        <f>N65/E37</f>
        <v>0.60851492537313434</v>
      </c>
      <c r="Q66" s="8"/>
      <c r="S66" t="s">
        <v>89</v>
      </c>
      <c r="T66">
        <v>4</v>
      </c>
      <c r="V66" s="8"/>
      <c r="Z66" s="8"/>
      <c r="AA66" s="6"/>
      <c r="AB66" s="7"/>
      <c r="AC66" s="7"/>
      <c r="AD66" s="7"/>
      <c r="AE66" s="7"/>
      <c r="AF66" s="7"/>
      <c r="AG66" s="7"/>
      <c r="AH66" s="7"/>
      <c r="AI66" s="8"/>
    </row>
    <row r="67" spans="3:35" x14ac:dyDescent="0.2">
      <c r="C67" t="s">
        <v>22</v>
      </c>
      <c r="D67">
        <f>G27*N25</f>
        <v>17939.02</v>
      </c>
      <c r="F67" s="59" t="s">
        <v>245</v>
      </c>
      <c r="G67" s="62">
        <v>1</v>
      </c>
      <c r="K67" s="8"/>
      <c r="M67" t="s">
        <v>54</v>
      </c>
      <c r="N67">
        <f>N66/X24/T25</f>
        <v>1.8962995031821347E-2</v>
      </c>
      <c r="Q67" s="8"/>
      <c r="S67" t="s">
        <v>99</v>
      </c>
      <c r="T67">
        <f>T66*T65*T64</f>
        <v>360</v>
      </c>
      <c r="V67" s="8"/>
      <c r="Z67" s="8"/>
      <c r="AA67" s="6"/>
      <c r="AB67" s="12" t="s">
        <v>120</v>
      </c>
      <c r="AC67" s="7"/>
      <c r="AD67" s="7"/>
      <c r="AE67" s="7"/>
      <c r="AF67" s="7"/>
      <c r="AG67" s="7"/>
      <c r="AH67" s="7"/>
      <c r="AI67" s="8"/>
    </row>
    <row r="68" spans="3:35" x14ac:dyDescent="0.2">
      <c r="C68" t="s">
        <v>23</v>
      </c>
      <c r="D68">
        <v>0.1</v>
      </c>
      <c r="F68" s="59"/>
      <c r="G68" s="62"/>
      <c r="K68" s="8"/>
      <c r="M68" t="s">
        <v>55</v>
      </c>
      <c r="N68">
        <f>(70*(N67*T25)^0.75)*365</f>
        <v>124576.45546570697</v>
      </c>
      <c r="Q68" s="8"/>
      <c r="S68" t="s">
        <v>100</v>
      </c>
      <c r="T68">
        <f>T67*N44/1000</f>
        <v>7.2</v>
      </c>
      <c r="V68" s="8"/>
      <c r="Z68" s="8"/>
      <c r="AA68" s="6"/>
      <c r="AB68" s="7"/>
      <c r="AC68" s="7" t="s">
        <v>110</v>
      </c>
      <c r="AD68" s="13">
        <f>650*10000</f>
        <v>6500000</v>
      </c>
      <c r="AE68" s="7"/>
      <c r="AF68" s="7"/>
      <c r="AG68" s="7" t="s">
        <v>222</v>
      </c>
      <c r="AH68" s="7"/>
      <c r="AI68" s="8"/>
    </row>
    <row r="69" spans="3:35" x14ac:dyDescent="0.2">
      <c r="C69" t="s">
        <v>24</v>
      </c>
      <c r="D69">
        <v>0.3</v>
      </c>
      <c r="F69" s="3" t="s">
        <v>246</v>
      </c>
      <c r="G69" s="3">
        <f>G67*D72</f>
        <v>15.299344384384385</v>
      </c>
      <c r="K69" s="8"/>
      <c r="M69" t="s">
        <v>258</v>
      </c>
      <c r="N69">
        <v>0.6</v>
      </c>
      <c r="O69" s="60">
        <f>SUM(N69:N71)</f>
        <v>1</v>
      </c>
      <c r="P69" t="s">
        <v>241</v>
      </c>
      <c r="Q69" s="8"/>
      <c r="S69" t="s">
        <v>101</v>
      </c>
      <c r="T69">
        <f>T67*N38</f>
        <v>408960</v>
      </c>
      <c r="V69" s="8"/>
      <c r="Z69" s="8"/>
      <c r="AA69" s="6"/>
      <c r="AB69" s="7"/>
      <c r="AC69" s="7" t="s">
        <v>111</v>
      </c>
      <c r="AD69" s="7">
        <v>0.59</v>
      </c>
      <c r="AE69" s="7" t="s">
        <v>226</v>
      </c>
      <c r="AF69" s="7"/>
      <c r="AG69" s="7"/>
      <c r="AH69" s="7"/>
      <c r="AI69" s="8"/>
    </row>
    <row r="70" spans="3:35" x14ac:dyDescent="0.2">
      <c r="C70" t="s">
        <v>25</v>
      </c>
      <c r="D70" s="18">
        <f>F27*(1-SUM(D68:D69))</f>
        <v>1332000</v>
      </c>
      <c r="K70" s="8"/>
      <c r="M70" t="s">
        <v>259</v>
      </c>
      <c r="N70">
        <v>0.1</v>
      </c>
      <c r="O70" s="60"/>
      <c r="Q70" s="8"/>
      <c r="S70" t="s">
        <v>102</v>
      </c>
      <c r="T70">
        <v>0</v>
      </c>
      <c r="U70" t="s">
        <v>209</v>
      </c>
      <c r="V70" s="8"/>
      <c r="Z70" s="8"/>
      <c r="AA70" s="6"/>
      <c r="AB70" s="7"/>
      <c r="AC70" s="7" t="s">
        <v>112</v>
      </c>
      <c r="AD70" s="7">
        <v>0.1</v>
      </c>
      <c r="AE70" s="7"/>
      <c r="AF70" s="7"/>
      <c r="AG70" s="7"/>
      <c r="AH70" s="7"/>
      <c r="AI70" s="8"/>
    </row>
    <row r="71" spans="3:35" x14ac:dyDescent="0.2">
      <c r="C71" t="s">
        <v>26</v>
      </c>
      <c r="D71" s="18">
        <f>D67/D70</f>
        <v>1.3467732732732733E-2</v>
      </c>
      <c r="K71" s="8"/>
      <c r="M71" t="s">
        <v>260</v>
      </c>
      <c r="N71">
        <v>0.3</v>
      </c>
      <c r="O71" s="60"/>
      <c r="Q71" s="8"/>
      <c r="V71" s="8"/>
      <c r="Z71" s="8"/>
      <c r="AA71" s="6"/>
      <c r="AB71" s="7"/>
      <c r="AC71" s="7" t="s">
        <v>118</v>
      </c>
      <c r="AD71">
        <f>(AD68)*AD69*(1-AD70)/0.45</f>
        <v>7670000</v>
      </c>
      <c r="AE71" s="7"/>
      <c r="AF71" s="7"/>
      <c r="AG71" s="7"/>
      <c r="AH71" s="7"/>
      <c r="AI71" s="8"/>
    </row>
    <row r="72" spans="3:35" x14ac:dyDescent="0.2">
      <c r="C72" t="s">
        <v>27</v>
      </c>
      <c r="D72" s="18">
        <f>D71*N38</f>
        <v>15.299344384384385</v>
      </c>
      <c r="K72" s="8"/>
      <c r="M72" t="s">
        <v>49</v>
      </c>
      <c r="N72">
        <f>N69*N68/W31</f>
        <v>7.3539820227690067E-2</v>
      </c>
      <c r="Q72" s="8"/>
      <c r="S72" s="16" t="s">
        <v>183</v>
      </c>
      <c r="V72" s="8"/>
      <c r="Z72" s="8"/>
      <c r="AA72" s="6"/>
      <c r="AB72" s="7"/>
      <c r="AC72" s="7" t="s">
        <v>114</v>
      </c>
      <c r="AD72" s="7">
        <v>0.52</v>
      </c>
      <c r="AE72" s="7" t="s">
        <v>227</v>
      </c>
      <c r="AF72" s="7"/>
      <c r="AG72" s="7"/>
      <c r="AH72" s="7"/>
      <c r="AI72" s="8"/>
    </row>
    <row r="73" spans="3:35" x14ac:dyDescent="0.2">
      <c r="K73" s="8"/>
      <c r="M73" t="s">
        <v>50</v>
      </c>
      <c r="N73">
        <f>N70*N68/W32</f>
        <v>8.2736571339381663E-3</v>
      </c>
      <c r="Q73" s="8"/>
      <c r="V73" s="8"/>
      <c r="Z73" s="8"/>
      <c r="AA73" s="6"/>
      <c r="AB73" s="7"/>
      <c r="AC73" s="7" t="s">
        <v>115</v>
      </c>
      <c r="AD73" s="17">
        <f>AD71*(1-AD72)*D71</f>
        <v>49582.804828828834</v>
      </c>
      <c r="AE73" s="7"/>
      <c r="AF73" s="7"/>
      <c r="AG73" s="7"/>
      <c r="AH73" s="7"/>
      <c r="AI73" s="8"/>
    </row>
    <row r="74" spans="3:35" x14ac:dyDescent="0.2">
      <c r="C74" s="3" t="s">
        <v>9</v>
      </c>
      <c r="F74" s="59" t="s">
        <v>248</v>
      </c>
      <c r="G74" s="60">
        <v>1</v>
      </c>
      <c r="K74" s="8"/>
      <c r="M74" t="s">
        <v>254</v>
      </c>
      <c r="N74">
        <f>SUM(N72:N73)</f>
        <v>8.1813477361628237E-2</v>
      </c>
      <c r="Q74" s="8"/>
      <c r="V74" s="8"/>
      <c r="Z74" s="8"/>
      <c r="AA74" s="6"/>
      <c r="AB74" s="7"/>
      <c r="AC74" s="7" t="s">
        <v>117</v>
      </c>
      <c r="AD74" s="7">
        <f>$N$31*AD73</f>
        <v>56326066.285549559</v>
      </c>
      <c r="AE74" s="7"/>
      <c r="AF74" s="7"/>
      <c r="AG74" s="7"/>
      <c r="AH74" s="7"/>
      <c r="AI74" s="8"/>
    </row>
    <row r="75" spans="3:35" x14ac:dyDescent="0.2">
      <c r="C75" t="s">
        <v>22</v>
      </c>
      <c r="D75">
        <f>G32*N25</f>
        <v>12231.15</v>
      </c>
      <c r="F75" s="59"/>
      <c r="G75" s="60"/>
      <c r="K75" s="8"/>
      <c r="M75" s="3" t="s">
        <v>255</v>
      </c>
      <c r="N75" s="3">
        <f>N74*N31</f>
        <v>92.940110282809684</v>
      </c>
      <c r="Q75" s="8"/>
      <c r="R75" s="3" t="s">
        <v>184</v>
      </c>
      <c r="V75" s="8"/>
      <c r="Z75" s="8"/>
      <c r="AA75" s="6"/>
      <c r="AB75" s="7"/>
      <c r="AC75" s="7"/>
      <c r="AD75" s="7"/>
      <c r="AE75" s="7"/>
      <c r="AF75" s="7"/>
      <c r="AG75" s="7"/>
      <c r="AH75" s="7"/>
      <c r="AI75" s="8"/>
    </row>
    <row r="76" spans="3:35" x14ac:dyDescent="0.2">
      <c r="C76" t="s">
        <v>23</v>
      </c>
      <c r="D76">
        <v>0</v>
      </c>
      <c r="F76" s="59"/>
      <c r="G76" s="60"/>
      <c r="K76" s="8"/>
      <c r="M76" s="3" t="s">
        <v>256</v>
      </c>
      <c r="N76" s="3">
        <f>N67*N31</f>
        <v>21.54196235614905</v>
      </c>
      <c r="Q76" s="8"/>
      <c r="S76" t="s">
        <v>87</v>
      </c>
      <c r="T76">
        <v>1.5</v>
      </c>
      <c r="U76" s="16" t="s">
        <v>178</v>
      </c>
      <c r="V76" s="8"/>
      <c r="Z76" s="8"/>
      <c r="AA76" s="6"/>
      <c r="AB76" s="12" t="s">
        <v>134</v>
      </c>
      <c r="AC76" s="7"/>
      <c r="AD76" s="7"/>
      <c r="AE76" s="7"/>
      <c r="AF76" s="7"/>
      <c r="AG76" s="7"/>
      <c r="AH76" s="7"/>
      <c r="AI76" s="8"/>
    </row>
    <row r="77" spans="3:35" x14ac:dyDescent="0.2">
      <c r="C77" t="s">
        <v>24</v>
      </c>
      <c r="D77">
        <v>0.3</v>
      </c>
      <c r="F77" t="s">
        <v>249</v>
      </c>
      <c r="G77">
        <f>G74*D80</f>
        <v>4.0344327526132409</v>
      </c>
      <c r="K77" s="8"/>
      <c r="Q77" s="8"/>
      <c r="S77" t="s">
        <v>88</v>
      </c>
      <c r="T77">
        <v>82</v>
      </c>
      <c r="U77" s="16" t="s">
        <v>103</v>
      </c>
      <c r="V77" s="8"/>
      <c r="Z77" s="8"/>
      <c r="AA77" s="6"/>
      <c r="AB77" s="7"/>
      <c r="AC77" s="7" t="s">
        <v>125</v>
      </c>
      <c r="AD77">
        <f>((((40+96)/2)/1.28)/1.331)*0.67</f>
        <v>26.742111194590535</v>
      </c>
      <c r="AE77" s="7"/>
      <c r="AF77" s="7" t="s">
        <v>228</v>
      </c>
      <c r="AG77" s="7"/>
      <c r="AH77" s="7"/>
      <c r="AI77" s="8"/>
    </row>
    <row r="78" spans="3:35" x14ac:dyDescent="0.2">
      <c r="C78" t="s">
        <v>25</v>
      </c>
      <c r="D78" s="18">
        <f>F32*(1-SUM(D76:D77))</f>
        <v>3444000</v>
      </c>
      <c r="K78" s="8"/>
      <c r="M78" s="3" t="s">
        <v>243</v>
      </c>
      <c r="Q78" s="8"/>
      <c r="S78" t="s">
        <v>89</v>
      </c>
      <c r="T78">
        <v>4</v>
      </c>
      <c r="U78" s="16"/>
      <c r="V78" s="8"/>
      <c r="Z78" s="8"/>
      <c r="AA78" s="6"/>
      <c r="AB78" s="7"/>
      <c r="AC78" s="7" t="s">
        <v>126</v>
      </c>
      <c r="AD78">
        <f>((40+96)/2)</f>
        <v>68</v>
      </c>
      <c r="AE78" s="7"/>
      <c r="AF78" s="7" t="s">
        <v>229</v>
      </c>
      <c r="AG78" s="7"/>
      <c r="AH78" s="7"/>
      <c r="AI78" s="8"/>
    </row>
    <row r="79" spans="3:35" x14ac:dyDescent="0.2">
      <c r="C79" t="s">
        <v>26</v>
      </c>
      <c r="D79" s="18">
        <f>D75/D78</f>
        <v>3.5514372822299653E-3</v>
      </c>
      <c r="K79" s="8"/>
      <c r="Q79" s="8"/>
      <c r="S79" t="s">
        <v>90</v>
      </c>
      <c r="T79">
        <f>T76*T77*T78</f>
        <v>492</v>
      </c>
      <c r="U79" s="16"/>
      <c r="V79" s="8"/>
      <c r="Z79" s="8"/>
      <c r="AA79" s="6"/>
      <c r="AB79" s="7"/>
      <c r="AC79" s="7" t="s">
        <v>127</v>
      </c>
      <c r="AD79">
        <f>AD78-AD77</f>
        <v>41.257888805409465</v>
      </c>
      <c r="AE79" s="7"/>
      <c r="AF79" s="7" t="s">
        <v>230</v>
      </c>
      <c r="AG79" s="7"/>
      <c r="AH79" s="7"/>
      <c r="AI79" s="8"/>
    </row>
    <row r="80" spans="3:35" x14ac:dyDescent="0.2">
      <c r="C80" t="s">
        <v>27</v>
      </c>
      <c r="D80" s="18">
        <f>D79*N38</f>
        <v>4.0344327526132409</v>
      </c>
      <c r="K80" s="8"/>
      <c r="L80" s="29" t="s">
        <v>257</v>
      </c>
      <c r="Q80" s="8"/>
      <c r="S80" t="s">
        <v>91</v>
      </c>
      <c r="T80">
        <f>T79*N44/1000</f>
        <v>9.84</v>
      </c>
      <c r="U80" s="16"/>
      <c r="V80" s="8"/>
      <c r="Z80" s="8"/>
      <c r="AA80" s="6"/>
      <c r="AB80" s="7"/>
      <c r="AC80" s="7" t="s">
        <v>128</v>
      </c>
      <c r="AD80">
        <f>(AD77)*E41</f>
        <v>23800.478963185575</v>
      </c>
      <c r="AE80" s="7"/>
      <c r="AF80" s="7"/>
      <c r="AG80" s="7"/>
      <c r="AH80" s="7"/>
      <c r="AI80" s="8"/>
    </row>
    <row r="81" spans="1:35" x14ac:dyDescent="0.2">
      <c r="A81" s="7"/>
      <c r="B81" s="7"/>
      <c r="C81" s="7"/>
      <c r="D81" s="7"/>
      <c r="K81" s="8"/>
      <c r="M81" t="s">
        <v>261</v>
      </c>
      <c r="N81">
        <f>N25*G38</f>
        <v>0</v>
      </c>
      <c r="Q81" s="8"/>
      <c r="S81" t="s">
        <v>92</v>
      </c>
      <c r="T81">
        <f>T79*N38</f>
        <v>558912</v>
      </c>
      <c r="U81" s="16"/>
      <c r="V81" s="8"/>
      <c r="Z81" s="8"/>
      <c r="AA81" s="6"/>
      <c r="AB81" s="7"/>
      <c r="AC81" s="7" t="s">
        <v>129</v>
      </c>
      <c r="AD81">
        <f>AD79*E41</f>
        <v>36719.521036814425</v>
      </c>
      <c r="AE81" s="7"/>
      <c r="AF81" s="7"/>
      <c r="AG81" s="7"/>
      <c r="AH81" s="7"/>
      <c r="AI81" s="8"/>
    </row>
    <row r="82" spans="1:35" x14ac:dyDescent="0.2">
      <c r="C82" s="3" t="s">
        <v>313</v>
      </c>
      <c r="K82" s="8"/>
      <c r="M82" t="s">
        <v>48</v>
      </c>
      <c r="N82">
        <f>N81/E38</f>
        <v>0</v>
      </c>
      <c r="Q82" s="8"/>
      <c r="S82" t="s">
        <v>93</v>
      </c>
      <c r="T82">
        <f>T81/N43/10000</f>
        <v>43.326511627906974</v>
      </c>
      <c r="U82" s="16"/>
      <c r="V82" s="8"/>
      <c r="Z82" s="8"/>
      <c r="AA82" s="6"/>
      <c r="AB82" s="7"/>
      <c r="AC82" s="7" t="s">
        <v>130</v>
      </c>
      <c r="AD82">
        <f>N25*G41</f>
        <v>13046.56</v>
      </c>
      <c r="AE82" s="7"/>
      <c r="AF82" s="7"/>
      <c r="AG82" s="7"/>
      <c r="AH82" s="7"/>
      <c r="AI82" s="8"/>
    </row>
    <row r="83" spans="1:35" x14ac:dyDescent="0.2">
      <c r="C83" t="s">
        <v>22</v>
      </c>
      <c r="D83">
        <f>G26*N25</f>
        <v>171236.1</v>
      </c>
      <c r="F83" t="s">
        <v>207</v>
      </c>
      <c r="G83" s="18">
        <f>G63*D88</f>
        <v>4.0935229292929298</v>
      </c>
      <c r="K83" s="8"/>
      <c r="M83" t="s">
        <v>262</v>
      </c>
      <c r="N83">
        <f>N82/X26/T26</f>
        <v>0</v>
      </c>
      <c r="Q83" s="8"/>
      <c r="V83" s="8"/>
      <c r="Z83" s="8"/>
      <c r="AA83" s="6"/>
      <c r="AB83" s="7"/>
      <c r="AC83" s="7" t="s">
        <v>131</v>
      </c>
      <c r="AD83">
        <f>AD82/AD80</f>
        <v>0.54816375839243958</v>
      </c>
      <c r="AE83" s="7"/>
      <c r="AF83" s="7"/>
      <c r="AG83" s="7"/>
      <c r="AH83" s="7"/>
      <c r="AI83" s="8"/>
    </row>
    <row r="84" spans="1:35" x14ac:dyDescent="0.2">
      <c r="C84" t="s">
        <v>23</v>
      </c>
      <c r="D84">
        <v>0.1</v>
      </c>
      <c r="K84" s="8"/>
      <c r="M84" t="s">
        <v>263</v>
      </c>
      <c r="N84">
        <f>(70*(N83*T26)^0.75)*365</f>
        <v>0</v>
      </c>
      <c r="Q84" s="8"/>
      <c r="S84" s="16" t="s">
        <v>183</v>
      </c>
      <c r="V84" s="8"/>
      <c r="Z84" s="8"/>
      <c r="AA84" s="6"/>
      <c r="AB84" s="7"/>
      <c r="AC84" s="7" t="s">
        <v>132</v>
      </c>
      <c r="AD84">
        <f>AD83*N31</f>
        <v>622.71402953381141</v>
      </c>
      <c r="AE84" s="7"/>
      <c r="AF84" s="7"/>
      <c r="AG84" s="7"/>
      <c r="AH84" s="7"/>
      <c r="AI84" s="8"/>
    </row>
    <row r="85" spans="1:35" x14ac:dyDescent="0.2">
      <c r="C85" t="s">
        <v>24</v>
      </c>
      <c r="D85">
        <v>0.3</v>
      </c>
      <c r="K85" s="8"/>
      <c r="M85" t="s">
        <v>264</v>
      </c>
      <c r="N85">
        <v>0.65</v>
      </c>
      <c r="O85" s="60">
        <f>SUM(N85:N87)</f>
        <v>1</v>
      </c>
      <c r="Q85" s="8"/>
      <c r="V85" s="8"/>
      <c r="Z85" s="8"/>
      <c r="AA85" s="6"/>
      <c r="AB85" s="7"/>
      <c r="AC85" s="7" t="s">
        <v>133</v>
      </c>
      <c r="AD85">
        <f>AD84*AD79</f>
        <v>25691.866188074458</v>
      </c>
      <c r="AE85" s="7"/>
      <c r="AF85" s="7"/>
      <c r="AG85" s="7"/>
      <c r="AH85" s="7"/>
      <c r="AI85" s="8"/>
    </row>
    <row r="86" spans="1:35" x14ac:dyDescent="0.2">
      <c r="C86" t="s">
        <v>25</v>
      </c>
      <c r="D86" s="18">
        <f>F26*(1-(D84+D85))</f>
        <v>4752000</v>
      </c>
      <c r="K86" s="8"/>
      <c r="M86" t="s">
        <v>265</v>
      </c>
      <c r="N86">
        <v>0.1</v>
      </c>
      <c r="O86" s="60"/>
      <c r="Q86" s="8"/>
      <c r="V86" s="8"/>
      <c r="Z86" s="8"/>
      <c r="AA86" s="6"/>
      <c r="AB86" s="7"/>
      <c r="AC86" s="11" t="s">
        <v>187</v>
      </c>
      <c r="AD86" s="7">
        <f>AD84*AD81</f>
        <v>22865760.907386266</v>
      </c>
      <c r="AE86" s="7"/>
      <c r="AF86" s="7"/>
      <c r="AG86" s="7"/>
      <c r="AH86" s="7"/>
      <c r="AI86" s="8"/>
    </row>
    <row r="87" spans="1:35" x14ac:dyDescent="0.2">
      <c r="C87" t="s">
        <v>26</v>
      </c>
      <c r="D87" s="18">
        <f>D83/D86</f>
        <v>3.6034532828282832E-2</v>
      </c>
      <c r="K87" s="8"/>
      <c r="M87" t="s">
        <v>270</v>
      </c>
      <c r="N87">
        <v>0.25</v>
      </c>
      <c r="O87" s="60"/>
      <c r="Q87" s="8"/>
      <c r="R87" s="3" t="s">
        <v>244</v>
      </c>
      <c r="V87" s="8"/>
      <c r="Z87" s="8"/>
      <c r="AA87" s="6"/>
      <c r="AB87" s="12" t="s">
        <v>137</v>
      </c>
      <c r="AC87" s="7"/>
      <c r="AD87" s="7"/>
      <c r="AE87" s="7"/>
      <c r="AF87" s="7"/>
      <c r="AG87" s="7"/>
      <c r="AH87" s="7"/>
      <c r="AI87" s="8"/>
    </row>
    <row r="88" spans="1:35" x14ac:dyDescent="0.2">
      <c r="C88" t="s">
        <v>27</v>
      </c>
      <c r="D88" s="18">
        <f>D87*N38</f>
        <v>40.9352292929293</v>
      </c>
      <c r="K88" s="8"/>
      <c r="M88" t="s">
        <v>49</v>
      </c>
      <c r="N88">
        <f>N84*N85/W31</f>
        <v>0</v>
      </c>
      <c r="Q88" s="8"/>
      <c r="V88" s="8"/>
      <c r="Z88" s="8"/>
      <c r="AA88" s="6"/>
      <c r="AB88" s="7"/>
      <c r="AC88" s="7" t="s">
        <v>135</v>
      </c>
      <c r="AD88">
        <v>0.9</v>
      </c>
      <c r="AE88" s="7" t="s">
        <v>233</v>
      </c>
      <c r="AF88" s="7"/>
      <c r="AG88" s="7"/>
      <c r="AH88" s="7"/>
      <c r="AI88" s="8"/>
    </row>
    <row r="89" spans="1:35" x14ac:dyDescent="0.2">
      <c r="K89" s="8"/>
      <c r="M89" t="s">
        <v>50</v>
      </c>
      <c r="N89">
        <f>N86*N84/W32</f>
        <v>0</v>
      </c>
      <c r="Q89" s="8"/>
      <c r="V89" s="8"/>
      <c r="Z89" s="8"/>
      <c r="AA89" s="6"/>
      <c r="AB89" s="7"/>
      <c r="AC89" s="7" t="s">
        <v>136</v>
      </c>
      <c r="AD89">
        <v>0.2</v>
      </c>
      <c r="AE89" s="7" t="s">
        <v>234</v>
      </c>
      <c r="AF89" s="7"/>
      <c r="AG89" s="7"/>
      <c r="AH89" s="7"/>
      <c r="AI89" s="8"/>
    </row>
    <row r="90" spans="1:35" x14ac:dyDescent="0.2">
      <c r="A90" s="9"/>
      <c r="B90" s="9"/>
      <c r="C90" s="9"/>
      <c r="D90" s="9"/>
      <c r="E90" s="9"/>
      <c r="F90" s="9"/>
      <c r="G90" s="9"/>
      <c r="H90" s="9"/>
      <c r="I90" s="9"/>
      <c r="J90" s="9"/>
      <c r="K90" s="10"/>
      <c r="M90" t="s">
        <v>271</v>
      </c>
      <c r="N90">
        <f>N87*N84/W33</f>
        <v>0</v>
      </c>
      <c r="Q90" s="8"/>
      <c r="V90" s="8"/>
      <c r="Z90" s="8"/>
      <c r="AA90" s="6"/>
      <c r="AB90" s="7"/>
      <c r="AC90" s="7" t="s">
        <v>143</v>
      </c>
      <c r="AD90">
        <f>(1-AD88)*AD89</f>
        <v>1.9999999999999997E-2</v>
      </c>
      <c r="AE90" s="7"/>
      <c r="AF90" s="7"/>
      <c r="AG90" s="7"/>
      <c r="AH90" s="7"/>
      <c r="AI90" s="8"/>
    </row>
    <row r="91" spans="1:35" x14ac:dyDescent="0.2">
      <c r="K91" s="8"/>
      <c r="M91" t="s">
        <v>266</v>
      </c>
      <c r="N91">
        <f>SUM(N88:N90)</f>
        <v>0</v>
      </c>
      <c r="Q91" s="8"/>
      <c r="V91" s="8"/>
      <c r="Z91" s="8"/>
      <c r="AA91" s="6"/>
      <c r="AB91" s="7"/>
      <c r="AC91" s="7" t="s">
        <v>138</v>
      </c>
      <c r="AD91">
        <f>(AD89*AD88)*E43</f>
        <v>149.4</v>
      </c>
      <c r="AE91" s="7"/>
      <c r="AF91" s="7"/>
      <c r="AG91" s="7"/>
      <c r="AH91" s="7"/>
      <c r="AI91" s="8"/>
    </row>
    <row r="92" spans="1:35" x14ac:dyDescent="0.2">
      <c r="B92" s="3" t="s">
        <v>108</v>
      </c>
      <c r="D92" s="3" t="s">
        <v>109</v>
      </c>
      <c r="E92" s="3">
        <f>D99</f>
        <v>6.0417759828016253</v>
      </c>
      <c r="K92" s="8"/>
      <c r="M92" s="3" t="s">
        <v>267</v>
      </c>
      <c r="N92">
        <f>N91*N31</f>
        <v>0</v>
      </c>
      <c r="Q92" s="8"/>
      <c r="V92" s="8"/>
      <c r="Z92" s="8"/>
      <c r="AA92" s="6"/>
      <c r="AB92" s="7"/>
      <c r="AC92" s="7" t="s">
        <v>139</v>
      </c>
      <c r="AD92">
        <f>G43*N25</f>
        <v>48924.6</v>
      </c>
      <c r="AE92" s="7"/>
      <c r="AF92" s="7"/>
      <c r="AG92" s="7"/>
      <c r="AH92" s="7"/>
      <c r="AI92" s="8"/>
    </row>
    <row r="93" spans="1:35" x14ac:dyDescent="0.2">
      <c r="B93" s="3" t="s">
        <v>311</v>
      </c>
      <c r="K93" s="8"/>
      <c r="M93" s="3" t="s">
        <v>272</v>
      </c>
      <c r="N93">
        <f>N83*N31</f>
        <v>0</v>
      </c>
      <c r="Q93" s="8"/>
      <c r="V93" s="8"/>
      <c r="Z93" s="8"/>
      <c r="AA93" s="6"/>
      <c r="AB93" s="7"/>
      <c r="AC93" s="7" t="s">
        <v>140</v>
      </c>
      <c r="AD93">
        <f>AD92/AD91</f>
        <v>327.47389558232931</v>
      </c>
      <c r="AF93" s="7"/>
      <c r="AG93" s="7"/>
      <c r="AH93" s="7"/>
      <c r="AI93" s="8"/>
    </row>
    <row r="94" spans="1:35" x14ac:dyDescent="0.2">
      <c r="C94" t="s">
        <v>22</v>
      </c>
      <c r="D94">
        <f>N25*G29</f>
        <v>20385.25</v>
      </c>
      <c r="K94" s="8"/>
      <c r="Q94" s="8"/>
      <c r="V94" s="8"/>
      <c r="Z94" s="8"/>
      <c r="AA94" s="6"/>
      <c r="AB94" s="7"/>
      <c r="AC94" s="7" t="s">
        <v>141</v>
      </c>
      <c r="AD94">
        <f>AD93*N31</f>
        <v>372010.3453815261</v>
      </c>
      <c r="AE94" s="7" t="s">
        <v>317</v>
      </c>
      <c r="AF94" s="7"/>
      <c r="AG94" s="7"/>
      <c r="AH94" s="7"/>
      <c r="AI94" s="8"/>
    </row>
    <row r="95" spans="1:35" x14ac:dyDescent="0.2">
      <c r="C95" t="s">
        <v>23</v>
      </c>
      <c r="D95">
        <v>0</v>
      </c>
      <c r="K95" s="8"/>
      <c r="Q95" s="8"/>
      <c r="V95" s="8"/>
      <c r="Z95" s="8"/>
      <c r="AA95" s="6"/>
      <c r="AB95" s="7"/>
      <c r="AC95" s="7" t="s">
        <v>142</v>
      </c>
      <c r="AD95">
        <f>AD90*AD94</f>
        <v>7440.2069076305206</v>
      </c>
      <c r="AE95" s="7"/>
      <c r="AF95" s="7"/>
      <c r="AG95" s="7"/>
      <c r="AH95" s="7"/>
      <c r="AI95" s="8"/>
    </row>
    <row r="96" spans="1:35" x14ac:dyDescent="0.2">
      <c r="C96" t="s">
        <v>24</v>
      </c>
      <c r="D96">
        <v>0.3</v>
      </c>
      <c r="K96" s="8"/>
      <c r="Q96" s="8"/>
      <c r="V96" s="8"/>
      <c r="Z96" s="8"/>
      <c r="AA96" s="6"/>
      <c r="AB96" s="7"/>
      <c r="AC96" s="7" t="s">
        <v>144</v>
      </c>
      <c r="AD96">
        <f>AD95*E42</f>
        <v>8935688.496064255</v>
      </c>
      <c r="AE96" s="7"/>
      <c r="AF96" s="7"/>
      <c r="AG96" s="7"/>
      <c r="AH96" s="7"/>
      <c r="AI96" s="8"/>
    </row>
    <row r="97" spans="3:35" x14ac:dyDescent="0.2">
      <c r="C97" t="s">
        <v>25</v>
      </c>
      <c r="D97">
        <f>F29*(1-SUM(D95:D96))</f>
        <v>3832919.9999999995</v>
      </c>
      <c r="K97" s="8"/>
      <c r="Q97" s="8"/>
      <c r="V97" s="8"/>
      <c r="Z97" s="8"/>
      <c r="AA97" s="6"/>
      <c r="AB97" s="7"/>
      <c r="AC97" s="7"/>
      <c r="AD97" s="7"/>
      <c r="AE97" s="7"/>
      <c r="AF97" s="7"/>
      <c r="AG97" s="7"/>
      <c r="AH97" s="7"/>
      <c r="AI97" s="8"/>
    </row>
    <row r="98" spans="3:35" x14ac:dyDescent="0.2">
      <c r="C98" t="s">
        <v>26</v>
      </c>
      <c r="D98">
        <f>D94/D97</f>
        <v>5.3184647735929798E-3</v>
      </c>
      <c r="K98" s="8"/>
      <c r="Q98" s="8"/>
      <c r="V98" s="8"/>
      <c r="Z98" s="8"/>
      <c r="AA98" s="6"/>
      <c r="AB98" s="12" t="s">
        <v>121</v>
      </c>
      <c r="AC98" s="7"/>
      <c r="AD98" s="7"/>
      <c r="AE98" s="7"/>
      <c r="AF98" s="7"/>
      <c r="AG98" s="7"/>
      <c r="AH98" s="7"/>
      <c r="AI98" s="8"/>
    </row>
    <row r="99" spans="3:35" x14ac:dyDescent="0.2">
      <c r="C99" t="s">
        <v>27</v>
      </c>
      <c r="D99">
        <f>D98*N38</f>
        <v>6.0417759828016253</v>
      </c>
      <c r="K99" s="8"/>
      <c r="Q99" s="8"/>
      <c r="V99" s="8"/>
      <c r="Z99" s="8"/>
      <c r="AA99" s="6"/>
      <c r="AB99" s="7"/>
      <c r="AC99" s="7" t="s">
        <v>145</v>
      </c>
      <c r="AD99" s="7">
        <v>0.5</v>
      </c>
      <c r="AE99" s="7" t="s">
        <v>113</v>
      </c>
      <c r="AF99" s="7"/>
      <c r="AG99" s="7"/>
      <c r="AH99" s="7"/>
      <c r="AI99" s="8"/>
    </row>
    <row r="100" spans="3:35" x14ac:dyDescent="0.2">
      <c r="K100" s="8"/>
      <c r="Q100" s="8"/>
      <c r="V100" s="8"/>
      <c r="Z100" s="8"/>
      <c r="AA100" s="6"/>
      <c r="AB100" s="7"/>
      <c r="AC100" s="7" t="s">
        <v>146</v>
      </c>
      <c r="AD100" s="7">
        <f>AD99*365</f>
        <v>182.5</v>
      </c>
      <c r="AE100" s="7"/>
      <c r="AF100" s="7"/>
      <c r="AG100" s="7"/>
      <c r="AH100" s="7"/>
      <c r="AI100" s="8"/>
    </row>
    <row r="101" spans="3:35" x14ac:dyDescent="0.2">
      <c r="K101" s="8"/>
      <c r="Q101" s="8"/>
      <c r="V101" s="8"/>
      <c r="Z101" s="8"/>
      <c r="AA101" s="6"/>
      <c r="AB101" s="7"/>
      <c r="AC101" s="7" t="s">
        <v>148</v>
      </c>
      <c r="AD101" s="7">
        <f>V35</f>
        <v>890</v>
      </c>
      <c r="AE101" s="7"/>
      <c r="AF101" s="7"/>
      <c r="AG101" s="7"/>
      <c r="AH101" s="7"/>
      <c r="AI101" s="8"/>
    </row>
    <row r="102" spans="3:35" x14ac:dyDescent="0.2">
      <c r="K102" s="8"/>
      <c r="Q102" s="8"/>
      <c r="V102" s="8"/>
      <c r="Z102" s="8"/>
      <c r="AA102" s="6"/>
      <c r="AB102" s="7"/>
      <c r="AC102" s="7" t="s">
        <v>147</v>
      </c>
      <c r="AD102" s="7">
        <f>AD100*AD101</f>
        <v>162425</v>
      </c>
      <c r="AE102" s="7"/>
      <c r="AF102" s="7"/>
      <c r="AG102" s="7"/>
      <c r="AH102" s="7"/>
      <c r="AI102" s="8"/>
    </row>
    <row r="103" spans="3:35" x14ac:dyDescent="0.2">
      <c r="K103" s="8"/>
      <c r="Q103" s="8"/>
      <c r="V103" s="8"/>
      <c r="Z103" s="8"/>
      <c r="AA103" s="6"/>
      <c r="AB103" s="7"/>
      <c r="AC103" s="7" t="s">
        <v>150</v>
      </c>
      <c r="AD103" s="7">
        <f>AD100*N31</f>
        <v>207320</v>
      </c>
      <c r="AE103" s="7"/>
      <c r="AF103" s="7"/>
      <c r="AG103" s="7"/>
      <c r="AH103" s="7"/>
      <c r="AI103" s="8"/>
    </row>
    <row r="104" spans="3:35" x14ac:dyDescent="0.2">
      <c r="K104" s="8"/>
      <c r="Q104" s="8"/>
      <c r="V104" s="8"/>
      <c r="Z104" s="8"/>
      <c r="AA104" s="6"/>
      <c r="AB104" s="7"/>
      <c r="AC104" s="7" t="s">
        <v>149</v>
      </c>
      <c r="AD104" s="7">
        <f>AD102*N38</f>
        <v>184514800</v>
      </c>
      <c r="AE104" s="7"/>
      <c r="AF104" s="7"/>
      <c r="AG104" s="7"/>
      <c r="AH104" s="7"/>
      <c r="AI104" s="8"/>
    </row>
    <row r="105" spans="3:35" x14ac:dyDescent="0.2">
      <c r="K105" s="8"/>
      <c r="Q105" s="8"/>
      <c r="V105" s="8"/>
      <c r="Z105" s="8"/>
      <c r="AA105" s="6"/>
      <c r="AB105" s="7"/>
      <c r="AC105" s="7"/>
      <c r="AD105" s="7"/>
      <c r="AE105" s="7"/>
      <c r="AF105" s="7"/>
      <c r="AG105" s="7"/>
      <c r="AH105" s="7"/>
      <c r="AI105" s="8"/>
    </row>
    <row r="106" spans="3:35" x14ac:dyDescent="0.2">
      <c r="Z106" s="8"/>
      <c r="AA106" s="23"/>
      <c r="AB106" s="9"/>
      <c r="AC106" s="9"/>
      <c r="AD106" s="9"/>
      <c r="AE106" s="9"/>
      <c r="AF106" s="9"/>
      <c r="AG106" s="9"/>
      <c r="AH106" s="9"/>
      <c r="AI106" s="10"/>
    </row>
  </sheetData>
  <mergeCells count="10">
    <mergeCell ref="O85:O87"/>
    <mergeCell ref="O69:O71"/>
    <mergeCell ref="F74:F76"/>
    <mergeCell ref="G74:G76"/>
    <mergeCell ref="B25:B33"/>
    <mergeCell ref="O53:O54"/>
    <mergeCell ref="F67:F68"/>
    <mergeCell ref="G67:G68"/>
    <mergeCell ref="B34:B39"/>
    <mergeCell ref="B40:B4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B2E875-13F4-B54F-96CD-1B012DC1E87B}">
  <dimension ref="A1:AI106"/>
  <sheetViews>
    <sheetView tabSelected="1" topLeftCell="A2" workbookViewId="0">
      <selection activeCell="H41" sqref="H41"/>
    </sheetView>
  </sheetViews>
  <sheetFormatPr baseColWidth="10" defaultRowHeight="16" x14ac:dyDescent="0.2"/>
  <cols>
    <col min="1" max="1" width="13.33203125" customWidth="1"/>
    <col min="2" max="2" width="14" customWidth="1"/>
    <col min="3" max="3" width="34.6640625" customWidth="1"/>
    <col min="4" max="4" width="19" customWidth="1"/>
    <col min="6" max="6" width="15" customWidth="1"/>
    <col min="13" max="13" width="43.5" customWidth="1"/>
    <col min="18" max="18" width="14.6640625" customWidth="1"/>
    <col min="19" max="19" width="43.83203125" customWidth="1"/>
    <col min="20" max="20" width="17.5" customWidth="1"/>
    <col min="22" max="22" width="14.5" customWidth="1"/>
    <col min="23" max="23" width="23.5" customWidth="1"/>
    <col min="24" max="24" width="33" customWidth="1"/>
    <col min="27" max="27" width="22.83203125" bestFit="1" customWidth="1"/>
    <col min="28" max="28" width="13.33203125" customWidth="1"/>
    <col min="29" max="29" width="50.1640625" bestFit="1" customWidth="1"/>
    <col min="30" max="30" width="12.1640625" bestFit="1" customWidth="1"/>
    <col min="33" max="33" width="45.6640625" bestFit="1" customWidth="1"/>
  </cols>
  <sheetData>
    <row r="1" spans="1:5" ht="21" x14ac:dyDescent="0.25">
      <c r="A1" s="2" t="s">
        <v>0</v>
      </c>
    </row>
    <row r="2" spans="1:5" ht="21" x14ac:dyDescent="0.25">
      <c r="A2" s="2" t="s">
        <v>167</v>
      </c>
      <c r="B2" s="2">
        <v>1570</v>
      </c>
    </row>
    <row r="3" spans="1:5" s="9" customFormat="1" ht="21" x14ac:dyDescent="0.25">
      <c r="A3" s="19" t="s">
        <v>166</v>
      </c>
      <c r="B3" s="19" t="s">
        <v>288</v>
      </c>
    </row>
    <row r="7" spans="1:5" ht="19" x14ac:dyDescent="0.25">
      <c r="B7" s="20" t="s">
        <v>168</v>
      </c>
      <c r="C7" s="4"/>
      <c r="D7" s="4"/>
      <c r="E7" s="5"/>
    </row>
    <row r="8" spans="1:5" x14ac:dyDescent="0.2">
      <c r="B8" s="21" t="s">
        <v>169</v>
      </c>
      <c r="C8" s="12" t="s">
        <v>251</v>
      </c>
      <c r="D8" s="12" t="s">
        <v>104</v>
      </c>
      <c r="E8" s="22" t="s">
        <v>252</v>
      </c>
    </row>
    <row r="9" spans="1:5" x14ac:dyDescent="0.2">
      <c r="B9" s="6">
        <v>1</v>
      </c>
      <c r="C9" s="7" t="s">
        <v>105</v>
      </c>
      <c r="D9" s="15">
        <f>N34*(N38/N31)</f>
        <v>2.74</v>
      </c>
      <c r="E9" s="8">
        <v>1</v>
      </c>
    </row>
    <row r="10" spans="1:5" x14ac:dyDescent="0.2">
      <c r="B10" s="6">
        <v>2</v>
      </c>
      <c r="C10" s="7" t="s">
        <v>212</v>
      </c>
      <c r="D10" s="15">
        <f>E48+G69</f>
        <v>13.352155099099098</v>
      </c>
      <c r="E10" s="8">
        <v>2</v>
      </c>
    </row>
    <row r="11" spans="1:5" x14ac:dyDescent="0.2">
      <c r="B11" s="6">
        <v>3</v>
      </c>
      <c r="C11" s="7" t="s">
        <v>213</v>
      </c>
      <c r="D11" s="15">
        <f>E57</f>
        <v>177.10682105093727</v>
      </c>
      <c r="E11" s="8">
        <v>3</v>
      </c>
    </row>
    <row r="12" spans="1:5" x14ac:dyDescent="0.2">
      <c r="B12" s="6">
        <v>4</v>
      </c>
      <c r="C12" s="7" t="s">
        <v>214</v>
      </c>
      <c r="D12" s="15">
        <f>D11/(1/3)-D11</f>
        <v>354.2136421018746</v>
      </c>
      <c r="E12" s="8">
        <v>4</v>
      </c>
    </row>
    <row r="13" spans="1:5" x14ac:dyDescent="0.2">
      <c r="B13" s="6">
        <v>5</v>
      </c>
      <c r="C13" s="7" t="s">
        <v>285</v>
      </c>
      <c r="D13" s="15">
        <f>N75+N92</f>
        <v>0</v>
      </c>
      <c r="E13" s="8">
        <v>4</v>
      </c>
    </row>
    <row r="14" spans="1:5" x14ac:dyDescent="0.2">
      <c r="B14" s="6">
        <v>6</v>
      </c>
      <c r="C14" s="7" t="s">
        <v>215</v>
      </c>
      <c r="D14" s="15">
        <f>E92</f>
        <v>3.0208879914008127</v>
      </c>
      <c r="E14" s="8">
        <v>5</v>
      </c>
    </row>
    <row r="15" spans="1:5" x14ac:dyDescent="0.2">
      <c r="B15" s="6">
        <v>7</v>
      </c>
      <c r="C15" s="7" t="s">
        <v>216</v>
      </c>
      <c r="D15" s="15">
        <f>U47</f>
        <v>42.599999999999994</v>
      </c>
      <c r="E15" s="8">
        <v>5</v>
      </c>
    </row>
    <row r="16" spans="1:5" x14ac:dyDescent="0.2">
      <c r="B16" s="6">
        <v>8</v>
      </c>
      <c r="C16" s="7" t="s">
        <v>238</v>
      </c>
      <c r="D16" s="15">
        <f>N58</f>
        <v>30.337843379904669</v>
      </c>
      <c r="E16" s="8">
        <v>6</v>
      </c>
    </row>
    <row r="17" spans="1:35" x14ac:dyDescent="0.2">
      <c r="B17" s="6">
        <v>9</v>
      </c>
      <c r="C17" s="7" t="s">
        <v>106</v>
      </c>
      <c r="D17" s="15">
        <f>Y52</f>
        <v>1389.99584304</v>
      </c>
      <c r="E17" s="8">
        <v>6</v>
      </c>
    </row>
    <row r="18" spans="1:35" x14ac:dyDescent="0.2">
      <c r="B18" s="6">
        <v>10</v>
      </c>
      <c r="C18" s="7" t="s">
        <v>211</v>
      </c>
      <c r="D18" s="15">
        <f>SUM(D9:D15)+D16</f>
        <v>623.37134962321659</v>
      </c>
      <c r="E18" s="8" t="s">
        <v>16</v>
      </c>
    </row>
    <row r="19" spans="1:35" x14ac:dyDescent="0.2">
      <c r="B19" s="23">
        <v>11</v>
      </c>
      <c r="C19" s="46" t="s">
        <v>253</v>
      </c>
      <c r="D19" s="41">
        <f>SUM(D9:D17)</f>
        <v>2013.3671926632164</v>
      </c>
      <c r="E19" s="10" t="s">
        <v>16</v>
      </c>
    </row>
    <row r="21" spans="1:35" s="4" customFormat="1" x14ac:dyDescent="0.2">
      <c r="A21" s="26"/>
      <c r="K21" s="5"/>
      <c r="Q21" s="5"/>
      <c r="R21" s="26"/>
      <c r="Z21" s="5"/>
      <c r="AA21" s="26"/>
      <c r="AI21" s="5"/>
    </row>
    <row r="22" spans="1:35" ht="19" x14ac:dyDescent="0.25">
      <c r="A22" s="27" t="s">
        <v>170</v>
      </c>
      <c r="C22" s="7"/>
      <c r="D22" s="7"/>
      <c r="E22" s="7"/>
      <c r="F22" s="7"/>
      <c r="G22" s="7"/>
      <c r="H22" s="7"/>
      <c r="I22" s="7"/>
      <c r="J22" s="7"/>
      <c r="K22" s="8"/>
      <c r="L22" s="7"/>
      <c r="M22" s="7"/>
      <c r="N22" s="7"/>
      <c r="O22" s="7"/>
      <c r="P22" s="7"/>
      <c r="Q22" s="8"/>
      <c r="R22" s="6"/>
      <c r="S22" s="7"/>
      <c r="T22" s="7"/>
      <c r="U22" s="7"/>
      <c r="V22" s="7"/>
      <c r="W22" s="7"/>
      <c r="X22" s="7"/>
      <c r="Y22" s="7"/>
      <c r="Z22" s="8"/>
      <c r="AA22" s="6"/>
      <c r="AB22" s="7"/>
      <c r="AC22" s="7"/>
      <c r="AD22" s="7"/>
      <c r="AE22" s="7"/>
      <c r="AF22" s="7"/>
      <c r="AG22" s="7"/>
      <c r="AH22" s="7"/>
      <c r="AI22" s="8"/>
    </row>
    <row r="23" spans="1:35" ht="19" x14ac:dyDescent="0.25">
      <c r="A23" s="24" t="s">
        <v>28</v>
      </c>
      <c r="C23" s="7"/>
      <c r="D23" s="7"/>
      <c r="E23" s="7"/>
      <c r="F23" s="7"/>
      <c r="G23" s="7"/>
      <c r="H23" s="7"/>
      <c r="I23" s="7"/>
      <c r="J23" s="7"/>
      <c r="K23" s="8"/>
      <c r="L23" s="24" t="s">
        <v>31</v>
      </c>
      <c r="N23" s="7"/>
      <c r="O23" s="7"/>
      <c r="P23" s="7"/>
      <c r="Q23" s="8"/>
      <c r="R23" s="31" t="s">
        <v>45</v>
      </c>
      <c r="S23" s="7"/>
      <c r="T23" s="7"/>
      <c r="U23" s="7"/>
      <c r="V23" s="7"/>
      <c r="W23" s="7"/>
      <c r="X23" s="7"/>
      <c r="Y23" s="7"/>
      <c r="Z23" s="8"/>
      <c r="AA23" s="31" t="s">
        <v>152</v>
      </c>
      <c r="AB23" s="7"/>
      <c r="AC23" s="7"/>
      <c r="AD23" s="7"/>
      <c r="AE23" s="7"/>
      <c r="AF23" s="7"/>
      <c r="AG23" s="7"/>
      <c r="AH23" s="7"/>
      <c r="AI23" s="8"/>
    </row>
    <row r="24" spans="1:35" ht="34" x14ac:dyDescent="0.2">
      <c r="A24" s="6"/>
      <c r="B24" s="51"/>
      <c r="C24" s="51" t="s">
        <v>1</v>
      </c>
      <c r="D24" s="51" t="s">
        <v>2</v>
      </c>
      <c r="E24" s="47" t="s">
        <v>3</v>
      </c>
      <c r="F24" s="47" t="s">
        <v>4</v>
      </c>
      <c r="G24" s="48" t="s">
        <v>44</v>
      </c>
      <c r="H24" t="s">
        <v>18</v>
      </c>
      <c r="I24" s="7"/>
      <c r="J24" s="7"/>
      <c r="K24" s="8"/>
      <c r="L24" s="7"/>
      <c r="M24" s="7" t="s">
        <v>29</v>
      </c>
      <c r="N24" s="7">
        <v>2234</v>
      </c>
      <c r="O24" s="7" t="s">
        <v>172</v>
      </c>
      <c r="P24" s="7"/>
      <c r="Q24" s="8"/>
      <c r="R24" s="6"/>
      <c r="S24" s="33" t="s">
        <v>47</v>
      </c>
      <c r="T24" s="28">
        <v>45</v>
      </c>
      <c r="U24" s="7"/>
      <c r="V24" s="7"/>
      <c r="W24" s="14" t="s">
        <v>52</v>
      </c>
      <c r="X24" s="28">
        <v>7.3599999999999999E-2</v>
      </c>
      <c r="Y24" s="7" t="s">
        <v>274</v>
      </c>
      <c r="Z24" s="8"/>
      <c r="AA24" s="6"/>
      <c r="AB24" s="7"/>
      <c r="AC24" s="12" t="s">
        <v>153</v>
      </c>
      <c r="AD24" s="12" t="s">
        <v>154</v>
      </c>
      <c r="AE24" s="7"/>
      <c r="AF24" s="7"/>
      <c r="AG24" s="7" t="s">
        <v>161</v>
      </c>
      <c r="AH24" s="7">
        <f>N59</f>
        <v>195.61877489303652</v>
      </c>
      <c r="AI24" s="8"/>
    </row>
    <row r="25" spans="1:35" ht="34" x14ac:dyDescent="0.2">
      <c r="A25" s="6"/>
      <c r="B25" s="61" t="s">
        <v>17</v>
      </c>
      <c r="C25" t="s">
        <v>5</v>
      </c>
      <c r="D25" s="51">
        <v>1650</v>
      </c>
      <c r="E25" s="54">
        <v>3540</v>
      </c>
      <c r="F25" s="49">
        <f>D25*E25</f>
        <v>5841000</v>
      </c>
      <c r="G25" s="51">
        <v>0</v>
      </c>
      <c r="H25" t="s">
        <v>290</v>
      </c>
      <c r="I25" s="7"/>
      <c r="L25" s="7"/>
      <c r="M25" s="7" t="s">
        <v>30</v>
      </c>
      <c r="N25" s="7">
        <f>N24*365</f>
        <v>815410</v>
      </c>
      <c r="O25" s="7"/>
      <c r="P25" s="7"/>
      <c r="Q25" s="8"/>
      <c r="R25" s="6"/>
      <c r="S25" s="33" t="s">
        <v>46</v>
      </c>
      <c r="T25" s="28">
        <v>436</v>
      </c>
      <c r="U25" s="32" t="s">
        <v>218</v>
      </c>
      <c r="V25" s="7"/>
      <c r="W25" s="14" t="s">
        <v>53</v>
      </c>
      <c r="X25" s="28">
        <v>0.222</v>
      </c>
      <c r="Y25" s="32" t="s">
        <v>275</v>
      </c>
      <c r="Z25" s="8"/>
      <c r="AA25" s="6"/>
      <c r="AB25" s="12" t="s">
        <v>151</v>
      </c>
      <c r="AC25" s="36">
        <f>AD56/1000</f>
        <v>0</v>
      </c>
      <c r="AD25" s="36">
        <f>AC25*$AB$39</f>
        <v>0</v>
      </c>
      <c r="AE25" s="7"/>
      <c r="AF25" s="7"/>
      <c r="AG25" s="7" t="s">
        <v>162</v>
      </c>
      <c r="AH25" s="7">
        <f>N52/N51</f>
        <v>579475.04789838311</v>
      </c>
      <c r="AI25" s="8"/>
    </row>
    <row r="26" spans="1:35" ht="34" x14ac:dyDescent="0.2">
      <c r="A26" s="6"/>
      <c r="B26" s="61"/>
      <c r="C26" t="s">
        <v>315</v>
      </c>
      <c r="D26" s="51">
        <v>6000</v>
      </c>
      <c r="E26" s="54">
        <v>1320</v>
      </c>
      <c r="F26" s="49">
        <f t="shared" ref="F26:F32" si="0">D26*E26</f>
        <v>7920000</v>
      </c>
      <c r="G26" s="51">
        <v>0</v>
      </c>
      <c r="H26" t="s">
        <v>291</v>
      </c>
      <c r="I26" s="7"/>
      <c r="J26" s="7"/>
      <c r="K26" s="8"/>
      <c r="L26" s="7"/>
      <c r="M26" s="7"/>
      <c r="N26" s="7"/>
      <c r="O26" s="7"/>
      <c r="P26" s="7"/>
      <c r="Q26" s="8"/>
      <c r="R26" s="6"/>
      <c r="S26" s="33" t="s">
        <v>269</v>
      </c>
      <c r="T26" s="28">
        <v>35</v>
      </c>
      <c r="U26" s="7"/>
      <c r="V26" s="7"/>
      <c r="W26" s="14" t="s">
        <v>273</v>
      </c>
      <c r="X26" s="28">
        <v>0.113</v>
      </c>
      <c r="Y26" s="7" t="s">
        <v>274</v>
      </c>
      <c r="Z26" s="8"/>
      <c r="AA26" s="6"/>
      <c r="AB26" s="12" t="s">
        <v>155</v>
      </c>
      <c r="AC26" s="36">
        <f>AD65/1000</f>
        <v>280768.15114947368</v>
      </c>
      <c r="AD26" s="36">
        <f>AC26*$AB$39</f>
        <v>134768712.55174735</v>
      </c>
      <c r="AE26" s="7"/>
      <c r="AF26" s="7"/>
      <c r="AG26" s="7" t="s">
        <v>163</v>
      </c>
      <c r="AH26" s="36">
        <f>AH25*AH24</f>
        <v>113356198.95096536</v>
      </c>
      <c r="AI26" s="8"/>
    </row>
    <row r="27" spans="1:35" ht="16" customHeight="1" x14ac:dyDescent="0.2">
      <c r="A27" s="6"/>
      <c r="B27" s="61"/>
      <c r="C27" t="s">
        <v>120</v>
      </c>
      <c r="D27" s="51">
        <v>2000</v>
      </c>
      <c r="E27" s="54">
        <v>1110</v>
      </c>
      <c r="F27" s="49">
        <f t="shared" si="0"/>
        <v>2220000</v>
      </c>
      <c r="G27" s="51">
        <v>0.32</v>
      </c>
      <c r="H27" t="s">
        <v>292</v>
      </c>
      <c r="I27" s="7"/>
      <c r="J27" s="7"/>
      <c r="K27" s="8"/>
      <c r="L27" s="9"/>
      <c r="M27" s="9"/>
      <c r="N27" s="9"/>
      <c r="O27" s="9"/>
      <c r="P27" s="9"/>
      <c r="Q27" s="10"/>
      <c r="R27" s="6"/>
      <c r="S27" s="7"/>
      <c r="T27" s="7"/>
      <c r="U27" s="7"/>
      <c r="V27" s="7"/>
      <c r="W27" s="7"/>
      <c r="X27" s="7"/>
      <c r="Y27" s="7"/>
      <c r="Z27" s="8"/>
      <c r="AA27" s="6"/>
      <c r="AB27" s="12" t="s">
        <v>156</v>
      </c>
      <c r="AC27" s="36">
        <f>AD74/1000</f>
        <v>409644.11844036035</v>
      </c>
      <c r="AD27" s="36">
        <f>AC27*AB40</f>
        <v>98724232.544126838</v>
      </c>
      <c r="AE27" s="7"/>
      <c r="AF27" s="7"/>
      <c r="AG27" s="7"/>
      <c r="AH27" s="7"/>
      <c r="AI27" s="8"/>
    </row>
    <row r="28" spans="1:35" x14ac:dyDescent="0.2">
      <c r="A28" s="6"/>
      <c r="B28" s="61"/>
      <c r="C28" t="s">
        <v>276</v>
      </c>
      <c r="D28" s="51">
        <v>5000</v>
      </c>
      <c r="E28" s="54">
        <v>950</v>
      </c>
      <c r="F28" s="49">
        <f t="shared" si="0"/>
        <v>4750000</v>
      </c>
      <c r="G28" s="51">
        <v>0.443</v>
      </c>
      <c r="I28" s="7"/>
      <c r="J28" s="7"/>
      <c r="K28" s="8"/>
      <c r="L28" s="7"/>
      <c r="M28" s="7"/>
      <c r="N28" s="7"/>
      <c r="O28" s="7"/>
      <c r="P28" s="7"/>
      <c r="Q28" s="8"/>
      <c r="R28" s="6"/>
      <c r="S28" s="7"/>
      <c r="T28" s="7"/>
      <c r="Y28" s="7"/>
      <c r="Z28" s="8"/>
      <c r="AA28" s="6"/>
      <c r="AB28" s="12" t="s">
        <v>157</v>
      </c>
      <c r="AC28" s="36">
        <f>AD85</f>
        <v>12845.933094037229</v>
      </c>
      <c r="AD28" s="36">
        <f>AD86</f>
        <v>11432880.453693133</v>
      </c>
      <c r="AE28" s="7"/>
      <c r="AF28" s="7"/>
      <c r="AG28" s="7"/>
      <c r="AH28" s="7"/>
      <c r="AI28" s="8"/>
    </row>
    <row r="29" spans="1:35" ht="19" x14ac:dyDescent="0.25">
      <c r="A29" s="6"/>
      <c r="B29" s="61"/>
      <c r="C29" t="s">
        <v>311</v>
      </c>
      <c r="D29" s="51">
        <v>5070</v>
      </c>
      <c r="E29" s="54">
        <v>1080</v>
      </c>
      <c r="F29" s="49">
        <f t="shared" si="0"/>
        <v>5475600</v>
      </c>
      <c r="G29" s="51">
        <v>2.5000000000000001E-2</v>
      </c>
      <c r="I29" s="7"/>
      <c r="J29" s="7"/>
      <c r="K29" s="8"/>
      <c r="L29" s="24" t="s">
        <v>32</v>
      </c>
      <c r="N29" s="7"/>
      <c r="O29" s="7"/>
      <c r="P29" s="7"/>
      <c r="Q29" s="8"/>
      <c r="R29" s="6"/>
      <c r="S29" s="7"/>
      <c r="T29" s="7"/>
      <c r="U29" s="28" t="s">
        <v>56</v>
      </c>
      <c r="V29" s="28" t="s">
        <v>57</v>
      </c>
      <c r="W29" s="28" t="s">
        <v>58</v>
      </c>
      <c r="X29" s="7"/>
      <c r="Y29" s="7"/>
      <c r="Z29" s="8"/>
      <c r="AA29" s="6"/>
      <c r="AB29" s="12" t="s">
        <v>158</v>
      </c>
      <c r="AC29" s="36">
        <f>AD95</f>
        <v>3720.1034538152603</v>
      </c>
      <c r="AD29" s="36">
        <f t="shared" ref="AD29" si="1">AC29*$AB$39</f>
        <v>1785649.657831325</v>
      </c>
      <c r="AE29" s="7"/>
      <c r="AF29" s="7"/>
      <c r="AG29" s="7" t="s">
        <v>164</v>
      </c>
      <c r="AH29" s="7" t="str">
        <f>IF(AD31&gt;AH26,"YES","NO")</f>
        <v>YES</v>
      </c>
      <c r="AI29" s="8"/>
    </row>
    <row r="30" spans="1:35" x14ac:dyDescent="0.2">
      <c r="A30" s="6"/>
      <c r="B30" s="61"/>
      <c r="C30" t="s">
        <v>7</v>
      </c>
      <c r="D30" s="49" t="s">
        <v>16</v>
      </c>
      <c r="E30" s="49" t="s">
        <v>16</v>
      </c>
      <c r="F30" s="49" t="s">
        <v>16</v>
      </c>
      <c r="G30" s="51">
        <v>0</v>
      </c>
      <c r="I30" s="7"/>
      <c r="J30" s="7"/>
      <c r="K30" s="8"/>
      <c r="L30" s="7"/>
      <c r="M30" s="12" t="s">
        <v>34</v>
      </c>
      <c r="N30" s="12" t="s">
        <v>35</v>
      </c>
      <c r="O30" s="12" t="s">
        <v>36</v>
      </c>
      <c r="P30" s="7"/>
      <c r="Q30" s="8"/>
      <c r="R30" s="6"/>
      <c r="T30" s="12"/>
      <c r="U30" s="28" t="s">
        <v>59</v>
      </c>
      <c r="V30" s="28" t="s">
        <v>60</v>
      </c>
      <c r="W30" s="28" t="s">
        <v>61</v>
      </c>
      <c r="X30" s="7" t="s">
        <v>177</v>
      </c>
      <c r="Y30" s="7"/>
      <c r="Z30" s="8"/>
      <c r="AA30" s="6"/>
      <c r="AB30" s="12" t="s">
        <v>159</v>
      </c>
      <c r="AC30" s="36">
        <f>AD103</f>
        <v>103660</v>
      </c>
      <c r="AD30" s="36">
        <f>AD104</f>
        <v>92257400</v>
      </c>
      <c r="AE30" s="7"/>
      <c r="AF30" s="7"/>
      <c r="AG30" s="7" t="s">
        <v>165</v>
      </c>
      <c r="AH30" s="15">
        <f>AD31/AH26</f>
        <v>2.9902985310404318</v>
      </c>
      <c r="AI30" s="8"/>
    </row>
    <row r="31" spans="1:35" x14ac:dyDescent="0.2">
      <c r="A31" s="6"/>
      <c r="B31" s="61"/>
      <c r="C31" t="s">
        <v>8</v>
      </c>
      <c r="D31" s="51" t="s">
        <v>16</v>
      </c>
      <c r="E31" s="49" t="s">
        <v>16</v>
      </c>
      <c r="F31" s="49" t="s">
        <v>16</v>
      </c>
      <c r="G31" s="51">
        <v>0</v>
      </c>
      <c r="I31" s="7"/>
      <c r="J31" s="7"/>
      <c r="K31" s="8"/>
      <c r="L31" s="7"/>
      <c r="M31" s="12" t="s">
        <v>33</v>
      </c>
      <c r="N31" s="12">
        <v>568</v>
      </c>
      <c r="O31" s="7"/>
      <c r="P31" s="7"/>
      <c r="Q31" s="8"/>
      <c r="R31" s="6"/>
      <c r="S31" s="33" t="s">
        <v>179</v>
      </c>
      <c r="T31" s="12" t="s">
        <v>62</v>
      </c>
      <c r="U31" s="7">
        <v>700</v>
      </c>
      <c r="V31" s="7">
        <v>1452</v>
      </c>
      <c r="W31" s="7">
        <f>U31*V31</f>
        <v>1016400</v>
      </c>
      <c r="X31" s="32" t="s">
        <v>178</v>
      </c>
      <c r="Y31" s="7"/>
      <c r="Z31" s="8"/>
      <c r="AA31" s="6"/>
      <c r="AB31" s="12" t="s">
        <v>160</v>
      </c>
      <c r="AC31" s="36">
        <f>SUM(AC25:AC30)</f>
        <v>810638.30613768648</v>
      </c>
      <c r="AD31" s="36">
        <f>SUM(AD25:AD30)</f>
        <v>338968875.20739865</v>
      </c>
      <c r="AE31" s="7"/>
      <c r="AF31" s="7"/>
      <c r="AG31" s="11" t="s">
        <v>235</v>
      </c>
      <c r="AH31" s="15">
        <f>(AD25+AD26+AD27+AD30)/AH26</f>
        <v>2.8736879686375549</v>
      </c>
      <c r="AI31" s="8"/>
    </row>
    <row r="32" spans="1:35" x14ac:dyDescent="0.2">
      <c r="A32" s="6"/>
      <c r="B32" s="61"/>
      <c r="C32" t="s">
        <v>277</v>
      </c>
      <c r="D32" s="51">
        <v>12000</v>
      </c>
      <c r="E32" s="54">
        <v>410</v>
      </c>
      <c r="F32" s="49">
        <f t="shared" si="0"/>
        <v>4920000</v>
      </c>
      <c r="G32" s="51">
        <v>1.4999999999999999E-2</v>
      </c>
      <c r="I32" s="7"/>
      <c r="J32" s="7"/>
      <c r="K32" s="8"/>
      <c r="L32" s="7"/>
      <c r="M32" s="7" t="s">
        <v>37</v>
      </c>
      <c r="N32" s="7" t="s">
        <v>289</v>
      </c>
      <c r="O32" s="7"/>
      <c r="P32" s="7"/>
      <c r="Q32" s="8"/>
      <c r="R32" s="6"/>
      <c r="S32" s="7"/>
      <c r="T32" s="12" t="s">
        <v>63</v>
      </c>
      <c r="U32" s="7">
        <v>700</v>
      </c>
      <c r="V32" s="7">
        <v>2151</v>
      </c>
      <c r="W32" s="7">
        <f>U32*V32</f>
        <v>1505700</v>
      </c>
      <c r="X32" s="32" t="s">
        <v>178</v>
      </c>
      <c r="Y32" s="7"/>
      <c r="Z32" s="8"/>
      <c r="AA32" s="6"/>
      <c r="AB32" s="7"/>
      <c r="AC32" s="7"/>
      <c r="AD32" s="7"/>
      <c r="AE32" s="7"/>
      <c r="AF32" s="7"/>
      <c r="AG32" s="11" t="s">
        <v>236</v>
      </c>
      <c r="AH32" s="15">
        <f>(SUM(AD25:AD26)+AD30)/AH26</f>
        <v>2.0027675120789143</v>
      </c>
      <c r="AI32" s="8"/>
    </row>
    <row r="33" spans="1:35" x14ac:dyDescent="0.2">
      <c r="A33" s="6"/>
      <c r="B33" s="61"/>
      <c r="C33" t="s">
        <v>278</v>
      </c>
      <c r="D33" s="49" t="s">
        <v>16</v>
      </c>
      <c r="E33" s="49" t="s">
        <v>16</v>
      </c>
      <c r="F33" s="49" t="s">
        <v>16</v>
      </c>
      <c r="G33" s="51">
        <v>3.5000000000000003E-2</v>
      </c>
      <c r="I33" s="7"/>
      <c r="J33" s="7"/>
      <c r="K33" s="8"/>
      <c r="L33" s="7"/>
      <c r="M33" s="7" t="s">
        <v>38</v>
      </c>
      <c r="N33" s="7" t="s">
        <v>289</v>
      </c>
      <c r="O33" s="7"/>
      <c r="P33" s="7"/>
      <c r="Q33" s="8"/>
      <c r="R33" s="6"/>
      <c r="S33" s="7"/>
      <c r="T33" s="12" t="s">
        <v>64</v>
      </c>
      <c r="U33" s="7"/>
      <c r="V33" s="7"/>
      <c r="W33" s="7">
        <v>373646.2</v>
      </c>
      <c r="X33" s="32" t="s">
        <v>178</v>
      </c>
      <c r="Y33" s="7"/>
      <c r="Z33" s="8"/>
      <c r="AA33" s="6"/>
      <c r="AB33" s="7"/>
      <c r="AC33" s="7"/>
      <c r="AD33" s="7"/>
      <c r="AE33" s="7"/>
      <c r="AF33" s="7"/>
      <c r="AG33" s="11" t="s">
        <v>237</v>
      </c>
      <c r="AH33" s="15">
        <f>(AD26+AD30)/AH26</f>
        <v>2.0027675120789143</v>
      </c>
      <c r="AI33" s="8"/>
    </row>
    <row r="34" spans="1:35" ht="16" customHeight="1" x14ac:dyDescent="0.2">
      <c r="A34" s="6"/>
      <c r="B34" s="63" t="s">
        <v>20</v>
      </c>
      <c r="C34" t="s">
        <v>10</v>
      </c>
      <c r="D34" s="51" t="s">
        <v>16</v>
      </c>
      <c r="E34" s="54">
        <v>2370</v>
      </c>
      <c r="F34" s="51" t="s">
        <v>16</v>
      </c>
      <c r="G34" s="51">
        <v>0.01</v>
      </c>
      <c r="H34" t="s">
        <v>19</v>
      </c>
      <c r="I34" s="7"/>
      <c r="J34" s="7"/>
      <c r="K34" s="8"/>
      <c r="L34" s="7"/>
      <c r="M34" s="12" t="s">
        <v>40</v>
      </c>
      <c r="N34" s="12">
        <f>5.48/2</f>
        <v>2.74</v>
      </c>
      <c r="O34" s="7" t="s">
        <v>284</v>
      </c>
      <c r="P34" s="7"/>
      <c r="Q34" s="8"/>
      <c r="R34" s="6"/>
      <c r="S34" s="7"/>
      <c r="T34" s="12" t="s">
        <v>65</v>
      </c>
      <c r="U34" s="7">
        <f>N31*3</f>
        <v>1704</v>
      </c>
      <c r="V34" s="7">
        <v>1122</v>
      </c>
      <c r="W34" s="7">
        <f>U34*V34</f>
        <v>1911888</v>
      </c>
      <c r="X34" s="32" t="s">
        <v>178</v>
      </c>
      <c r="Y34" s="7"/>
      <c r="Z34" s="8"/>
      <c r="AA34" s="6"/>
      <c r="AB34" s="7"/>
      <c r="AC34" s="7"/>
      <c r="AD34" s="7"/>
      <c r="AE34" s="7"/>
      <c r="AF34" s="7"/>
      <c r="AG34" s="7"/>
      <c r="AH34" s="7"/>
      <c r="AI34" s="8"/>
    </row>
    <row r="35" spans="1:35" ht="16" customHeight="1" x14ac:dyDescent="0.2">
      <c r="A35" s="6"/>
      <c r="B35" s="63"/>
      <c r="C35" t="s">
        <v>11</v>
      </c>
      <c r="D35" s="51" t="s">
        <v>16</v>
      </c>
      <c r="E35" s="54">
        <v>1730</v>
      </c>
      <c r="F35" s="51" t="s">
        <v>16</v>
      </c>
      <c r="G35" s="51">
        <v>0.01</v>
      </c>
      <c r="H35" t="s">
        <v>19</v>
      </c>
      <c r="I35" s="7"/>
      <c r="J35" s="7"/>
      <c r="K35" s="8"/>
      <c r="L35" s="7"/>
      <c r="M35" s="7" t="s">
        <v>39</v>
      </c>
      <c r="N35" s="7">
        <f>N34/N31</f>
        <v>4.8239436619718313E-3</v>
      </c>
      <c r="O35" s="7"/>
      <c r="P35" s="7"/>
      <c r="Q35" s="8"/>
      <c r="R35" s="6"/>
      <c r="S35" s="7"/>
      <c r="T35" s="12" t="s">
        <v>121</v>
      </c>
      <c r="U35" s="7" t="s">
        <v>122</v>
      </c>
      <c r="V35" s="7">
        <v>890</v>
      </c>
      <c r="W35" s="7" t="s">
        <v>122</v>
      </c>
      <c r="X35" s="43" t="s">
        <v>113</v>
      </c>
      <c r="Y35" s="7"/>
      <c r="Z35" s="8"/>
      <c r="AA35" s="6"/>
      <c r="AB35" s="7"/>
      <c r="AC35" s="7"/>
      <c r="AD35" s="7"/>
      <c r="AE35" s="7"/>
      <c r="AF35" s="7"/>
      <c r="AG35" s="7"/>
      <c r="AH35" s="7"/>
      <c r="AI35" s="8"/>
    </row>
    <row r="36" spans="1:35" x14ac:dyDescent="0.2">
      <c r="A36" s="6"/>
      <c r="B36" s="63"/>
      <c r="C36" t="s">
        <v>12</v>
      </c>
      <c r="D36" s="51" t="s">
        <v>16</v>
      </c>
      <c r="E36" s="54">
        <v>1201</v>
      </c>
      <c r="F36" s="51" t="s">
        <v>16</v>
      </c>
      <c r="G36" s="51">
        <v>5.0000000000000001E-3</v>
      </c>
      <c r="I36" s="7"/>
      <c r="J36" s="7"/>
      <c r="K36" s="8"/>
      <c r="L36" s="7"/>
      <c r="M36" s="7"/>
      <c r="N36" s="7"/>
      <c r="O36" s="7"/>
      <c r="P36" s="7"/>
      <c r="Q36" s="8"/>
      <c r="R36" s="6"/>
      <c r="S36" s="7"/>
      <c r="T36" s="7"/>
      <c r="U36" s="7"/>
      <c r="V36" s="7"/>
      <c r="W36" s="7"/>
      <c r="X36" s="7"/>
      <c r="Y36" s="7"/>
      <c r="Z36" s="8"/>
      <c r="AA36" s="6"/>
      <c r="AB36" s="7"/>
      <c r="AC36" s="7"/>
      <c r="AD36" s="7"/>
      <c r="AE36" s="7"/>
      <c r="AF36" s="7"/>
      <c r="AG36" s="7"/>
      <c r="AH36" s="7"/>
      <c r="AI36" s="8"/>
    </row>
    <row r="37" spans="1:35" x14ac:dyDescent="0.2">
      <c r="A37" s="6"/>
      <c r="B37" s="63"/>
      <c r="C37" t="s">
        <v>13</v>
      </c>
      <c r="D37" s="51" t="s">
        <v>16</v>
      </c>
      <c r="E37" s="54">
        <v>1340</v>
      </c>
      <c r="F37" s="51" t="s">
        <v>16</v>
      </c>
      <c r="G37" s="51">
        <v>0</v>
      </c>
      <c r="H37" t="s">
        <v>242</v>
      </c>
      <c r="I37" s="7"/>
      <c r="J37" s="7"/>
      <c r="K37" s="8"/>
      <c r="L37" s="7"/>
      <c r="M37" s="40" t="s">
        <v>239</v>
      </c>
      <c r="N37" s="12" t="s">
        <v>282</v>
      </c>
      <c r="O37" s="7"/>
      <c r="P37" s="7"/>
      <c r="Q37" s="8"/>
      <c r="R37" s="6"/>
      <c r="S37" s="7"/>
      <c r="T37" s="7"/>
      <c r="U37" s="7"/>
      <c r="V37" s="7"/>
      <c r="W37" s="7"/>
      <c r="X37" s="7"/>
      <c r="Y37" s="7"/>
      <c r="Z37" s="8"/>
      <c r="AB37" s="7"/>
      <c r="AC37" s="34"/>
      <c r="AD37" s="34"/>
      <c r="AF37" s="7"/>
      <c r="AG37" s="7"/>
      <c r="AH37" s="7"/>
      <c r="AI37" s="8"/>
    </row>
    <row r="38" spans="1:35" x14ac:dyDescent="0.2">
      <c r="A38" s="6"/>
      <c r="B38" s="63"/>
      <c r="C38" t="s">
        <v>268</v>
      </c>
      <c r="D38" s="51" t="s">
        <v>16</v>
      </c>
      <c r="E38" s="54">
        <v>1480</v>
      </c>
      <c r="F38" s="51" t="s">
        <v>16</v>
      </c>
      <c r="G38" s="51">
        <v>0</v>
      </c>
      <c r="I38" s="7"/>
      <c r="J38" s="7"/>
      <c r="K38" s="8"/>
      <c r="L38" s="7"/>
      <c r="M38" s="40" t="s">
        <v>240</v>
      </c>
      <c r="N38" s="12">
        <f>N31</f>
        <v>568</v>
      </c>
      <c r="O38" s="7"/>
      <c r="P38" s="7"/>
      <c r="Q38" s="8"/>
      <c r="R38" s="6"/>
      <c r="S38" s="7"/>
      <c r="T38" s="7"/>
      <c r="U38" s="7"/>
      <c r="V38" s="7"/>
      <c r="W38" s="7"/>
      <c r="X38" s="7"/>
      <c r="Y38" s="7"/>
      <c r="Z38" s="8"/>
      <c r="AB38" s="7"/>
      <c r="AC38" s="34"/>
      <c r="AD38" s="34"/>
      <c r="AF38" s="7"/>
      <c r="AG38" s="7"/>
      <c r="AH38" s="7"/>
      <c r="AI38" s="8"/>
    </row>
    <row r="39" spans="1:35" ht="16" customHeight="1" x14ac:dyDescent="0.2">
      <c r="A39" s="6"/>
      <c r="B39" s="63"/>
      <c r="C39" t="s">
        <v>217</v>
      </c>
      <c r="D39" s="51" t="s">
        <v>16</v>
      </c>
      <c r="E39" s="54">
        <v>1600</v>
      </c>
      <c r="F39" s="51" t="s">
        <v>16</v>
      </c>
      <c r="G39" s="51">
        <v>1.4E-2</v>
      </c>
      <c r="I39" s="7"/>
      <c r="J39" s="7"/>
      <c r="K39" s="8"/>
      <c r="L39" s="23"/>
      <c r="M39" s="9"/>
      <c r="N39" s="9"/>
      <c r="O39" s="9"/>
      <c r="P39" s="9"/>
      <c r="Q39" s="10"/>
      <c r="R39" s="6"/>
      <c r="S39" s="7"/>
      <c r="T39" s="7"/>
      <c r="U39" s="7"/>
      <c r="V39" s="7"/>
      <c r="W39" s="7"/>
      <c r="X39" s="7"/>
      <c r="Y39" s="7"/>
      <c r="Z39" s="8"/>
      <c r="AA39" s="21" t="s">
        <v>186</v>
      </c>
      <c r="AB39" s="34">
        <v>480</v>
      </c>
      <c r="AC39" s="35" t="s">
        <v>225</v>
      </c>
      <c r="AD39" s="7"/>
      <c r="AE39" s="7"/>
      <c r="AF39" s="7"/>
      <c r="AG39" s="7"/>
      <c r="AH39" s="7"/>
      <c r="AI39" s="8"/>
    </row>
    <row r="40" spans="1:35" x14ac:dyDescent="0.2">
      <c r="A40" s="6"/>
      <c r="B40" s="63" t="s">
        <v>21</v>
      </c>
      <c r="C40" t="s">
        <v>14</v>
      </c>
      <c r="D40" s="51" t="s">
        <v>16</v>
      </c>
      <c r="E40" s="54">
        <v>2370</v>
      </c>
      <c r="F40" s="51" t="s">
        <v>16</v>
      </c>
      <c r="G40" s="51">
        <v>1.4999999999999999E-2</v>
      </c>
      <c r="I40" s="7"/>
      <c r="J40" s="7"/>
      <c r="K40" s="8"/>
      <c r="L40" s="7"/>
      <c r="M40" s="7"/>
      <c r="N40" s="7"/>
      <c r="O40" s="7"/>
      <c r="P40" s="7"/>
      <c r="Q40" s="8"/>
      <c r="R40" s="26"/>
      <c r="S40" s="4"/>
      <c r="T40" s="4"/>
      <c r="U40" s="4"/>
      <c r="V40" s="5"/>
      <c r="W40" s="4"/>
      <c r="X40" s="4"/>
      <c r="Y40" s="4"/>
      <c r="Z40" s="5"/>
      <c r="AA40" s="21" t="s">
        <v>223</v>
      </c>
      <c r="AB40" s="7">
        <v>241</v>
      </c>
      <c r="AC40" s="7" t="s">
        <v>224</v>
      </c>
      <c r="AD40" s="7"/>
      <c r="AE40" s="7"/>
      <c r="AF40" s="7"/>
      <c r="AG40" s="7"/>
      <c r="AH40" s="7"/>
      <c r="AI40" s="8"/>
    </row>
    <row r="41" spans="1:35" ht="19" x14ac:dyDescent="0.25">
      <c r="A41" s="6"/>
      <c r="B41" s="63"/>
      <c r="C41" t="s">
        <v>15</v>
      </c>
      <c r="D41" s="51" t="s">
        <v>16</v>
      </c>
      <c r="E41" s="54">
        <v>890</v>
      </c>
      <c r="F41" s="51" t="s">
        <v>16</v>
      </c>
      <c r="G41" s="51">
        <v>1.6E-2</v>
      </c>
      <c r="I41" s="7"/>
      <c r="J41" s="7"/>
      <c r="K41" s="8"/>
      <c r="L41" s="24" t="s">
        <v>180</v>
      </c>
      <c r="M41" s="7"/>
      <c r="N41" s="7"/>
      <c r="O41" s="7"/>
      <c r="P41" s="7"/>
      <c r="Q41" s="8"/>
      <c r="R41" s="37" t="s">
        <v>188</v>
      </c>
      <c r="S41" s="7"/>
      <c r="T41" s="7"/>
      <c r="U41" s="7"/>
      <c r="V41" s="8"/>
      <c r="Z41" s="8"/>
      <c r="AA41" s="6"/>
      <c r="AB41" s="7"/>
      <c r="AC41" s="7"/>
      <c r="AD41" s="7"/>
      <c r="AE41" s="7"/>
      <c r="AF41" s="7"/>
      <c r="AG41" s="7"/>
      <c r="AH41" s="7"/>
      <c r="AI41" s="8"/>
    </row>
    <row r="42" spans="1:35" x14ac:dyDescent="0.2">
      <c r="A42" s="6"/>
      <c r="B42" s="63"/>
      <c r="C42" t="s">
        <v>279</v>
      </c>
      <c r="D42" s="51" t="s">
        <v>16</v>
      </c>
      <c r="E42" s="54">
        <v>1201</v>
      </c>
      <c r="F42" s="51" t="s">
        <v>16</v>
      </c>
      <c r="G42" s="51">
        <v>3.2000000000000001E-2</v>
      </c>
      <c r="H42" t="s">
        <v>171</v>
      </c>
      <c r="I42" s="7"/>
      <c r="J42" s="7"/>
      <c r="K42" s="8"/>
      <c r="L42" s="7"/>
      <c r="M42" s="12" t="s">
        <v>86</v>
      </c>
      <c r="N42" s="12">
        <v>12.9</v>
      </c>
      <c r="O42" s="32" t="s">
        <v>181</v>
      </c>
      <c r="P42" s="7"/>
      <c r="Q42" s="8"/>
      <c r="R42" s="52"/>
      <c r="S42" s="52" t="s">
        <v>193</v>
      </c>
      <c r="T42" s="28" t="s">
        <v>194</v>
      </c>
      <c r="U42" s="7"/>
      <c r="V42" s="8"/>
      <c r="Z42" s="8"/>
      <c r="AA42" s="6"/>
      <c r="AB42" s="7"/>
      <c r="AC42" s="7"/>
      <c r="AD42" s="7"/>
      <c r="AE42" s="7"/>
      <c r="AF42" s="7"/>
      <c r="AG42" s="7"/>
      <c r="AH42" s="7"/>
      <c r="AI42" s="8"/>
    </row>
    <row r="43" spans="1:35" x14ac:dyDescent="0.2">
      <c r="A43" s="6"/>
      <c r="B43" s="63"/>
      <c r="C43" t="s">
        <v>280</v>
      </c>
      <c r="D43" s="51" t="s">
        <v>16</v>
      </c>
      <c r="E43" s="54">
        <v>830</v>
      </c>
      <c r="F43" s="51" t="s">
        <v>16</v>
      </c>
      <c r="G43" s="51">
        <v>0.06</v>
      </c>
      <c r="I43" s="7"/>
      <c r="J43" s="7"/>
      <c r="K43" s="8"/>
      <c r="L43" s="7"/>
      <c r="M43" s="12" t="s">
        <v>85</v>
      </c>
      <c r="N43" s="12">
        <v>1.29</v>
      </c>
      <c r="O43" s="7"/>
      <c r="P43" s="7"/>
      <c r="Q43" s="8"/>
      <c r="R43" s="38" t="s">
        <v>189</v>
      </c>
      <c r="S43" s="28" t="s">
        <v>190</v>
      </c>
      <c r="T43" s="28" t="s">
        <v>195</v>
      </c>
      <c r="U43" s="7"/>
      <c r="V43" s="8"/>
      <c r="Z43" s="8"/>
      <c r="AA43" s="6"/>
      <c r="AB43" s="7"/>
      <c r="AC43" s="7"/>
      <c r="AD43" s="7"/>
      <c r="AE43" s="7"/>
      <c r="AF43" s="7"/>
      <c r="AG43" s="7"/>
      <c r="AH43" s="7"/>
      <c r="AI43" s="8"/>
    </row>
    <row r="44" spans="1:35" x14ac:dyDescent="0.2">
      <c r="A44" s="6"/>
      <c r="F44" s="29" t="s">
        <v>160</v>
      </c>
      <c r="G44" s="42">
        <f>SUM(G25:G43)</f>
        <v>1.0000000000000002</v>
      </c>
      <c r="I44" s="7"/>
      <c r="J44" s="7"/>
      <c r="K44" s="8"/>
      <c r="L44" s="7"/>
      <c r="M44" s="12" t="s">
        <v>79</v>
      </c>
      <c r="N44" s="12">
        <v>20</v>
      </c>
      <c r="O44" s="7"/>
      <c r="P44" s="7"/>
      <c r="Q44" s="8"/>
      <c r="R44" s="38" t="s">
        <v>191</v>
      </c>
      <c r="S44" s="28" t="s">
        <v>192</v>
      </c>
      <c r="T44" s="28" t="s">
        <v>196</v>
      </c>
      <c r="U44" s="7"/>
      <c r="V44" s="8"/>
      <c r="Z44" s="8"/>
      <c r="AA44" s="6"/>
      <c r="AB44" s="7"/>
      <c r="AC44" s="7"/>
      <c r="AD44" s="7"/>
      <c r="AE44" s="7"/>
      <c r="AF44" s="7"/>
      <c r="AG44" s="7"/>
      <c r="AH44" s="7"/>
      <c r="AI44" s="8"/>
    </row>
    <row r="45" spans="1:35" x14ac:dyDescent="0.2">
      <c r="A45" s="23"/>
      <c r="B45" s="9"/>
      <c r="C45" s="9"/>
      <c r="D45" s="9"/>
      <c r="E45" s="9"/>
      <c r="F45" s="9"/>
      <c r="G45" s="9"/>
      <c r="H45" s="9"/>
      <c r="I45" s="9"/>
      <c r="J45" s="9"/>
      <c r="K45" s="10"/>
      <c r="L45" s="9"/>
      <c r="M45" s="9"/>
      <c r="N45" s="9"/>
      <c r="O45" s="9"/>
      <c r="P45" s="9"/>
      <c r="Q45" s="10"/>
      <c r="R45" s="23"/>
      <c r="S45" s="9"/>
      <c r="T45" s="9"/>
      <c r="U45" s="9"/>
      <c r="V45" s="10"/>
      <c r="W45" s="9"/>
      <c r="X45" s="9"/>
      <c r="Y45" s="9"/>
      <c r="Z45" s="10"/>
      <c r="AA45" s="23"/>
      <c r="AB45" s="9"/>
      <c r="AC45" s="9"/>
      <c r="AD45" s="9"/>
      <c r="AE45" s="9"/>
      <c r="AF45" s="9"/>
      <c r="AG45" s="9"/>
      <c r="AH45" s="9"/>
      <c r="AI45" s="10"/>
    </row>
    <row r="46" spans="1:35" x14ac:dyDescent="0.2">
      <c r="K46" s="5"/>
      <c r="Q46" s="5"/>
      <c r="V46" s="5"/>
      <c r="Z46" s="5"/>
      <c r="AA46" s="26"/>
      <c r="AB46" s="4"/>
      <c r="AC46" s="4"/>
      <c r="AD46" s="4"/>
      <c r="AE46" s="4"/>
      <c r="AF46" s="4"/>
      <c r="AG46" s="4"/>
      <c r="AH46" s="4"/>
      <c r="AI46" s="5"/>
    </row>
    <row r="47" spans="1:35" ht="19" x14ac:dyDescent="0.25">
      <c r="A47" s="1" t="s">
        <v>173</v>
      </c>
      <c r="K47" s="8"/>
      <c r="L47" s="1" t="s">
        <v>175</v>
      </c>
      <c r="Q47" s="8"/>
      <c r="R47" s="1" t="s">
        <v>182</v>
      </c>
      <c r="T47" s="29" t="s">
        <v>197</v>
      </c>
      <c r="U47" s="3">
        <f>SUM(T58,T70,T82)</f>
        <v>42.599999999999994</v>
      </c>
      <c r="V47" s="8"/>
      <c r="W47" s="1" t="s">
        <v>75</v>
      </c>
      <c r="Z47" s="8"/>
      <c r="AA47" s="44" t="s">
        <v>185</v>
      </c>
      <c r="AB47" s="7"/>
      <c r="AC47" s="7"/>
      <c r="AD47" s="7"/>
      <c r="AE47" s="7"/>
      <c r="AF47" s="7"/>
      <c r="AG47" s="7"/>
      <c r="AH47" s="7"/>
      <c r="AI47" s="8"/>
    </row>
    <row r="48" spans="1:35" x14ac:dyDescent="0.2">
      <c r="B48" s="3" t="s">
        <v>5</v>
      </c>
      <c r="D48" s="29" t="s">
        <v>174</v>
      </c>
      <c r="E48" s="3">
        <f>SUM(D54,G50)</f>
        <v>0</v>
      </c>
      <c r="K48" s="8"/>
      <c r="L48" s="29" t="s">
        <v>66</v>
      </c>
      <c r="Q48" s="8"/>
      <c r="R48" s="3" t="s">
        <v>78</v>
      </c>
      <c r="V48" s="8"/>
      <c r="X48" t="s">
        <v>219</v>
      </c>
      <c r="Y48">
        <f>(50000/19422.03)*100</f>
        <v>257.4396188246028</v>
      </c>
      <c r="Z48" s="8" t="s">
        <v>310</v>
      </c>
      <c r="AA48" s="6"/>
      <c r="AB48" s="7"/>
      <c r="AC48" s="7"/>
      <c r="AD48" s="7"/>
      <c r="AE48" s="7"/>
      <c r="AF48" s="7"/>
      <c r="AG48" s="7"/>
      <c r="AH48" s="7"/>
      <c r="AI48" s="8"/>
    </row>
    <row r="49" spans="1:35" x14ac:dyDescent="0.2">
      <c r="C49" t="s">
        <v>22</v>
      </c>
      <c r="D49">
        <f>N25*G25</f>
        <v>0</v>
      </c>
      <c r="F49" t="s">
        <v>206</v>
      </c>
      <c r="G49">
        <v>0.3</v>
      </c>
      <c r="K49" s="8"/>
      <c r="M49" t="s">
        <v>67</v>
      </c>
      <c r="N49">
        <f>N25*G34</f>
        <v>8154.1</v>
      </c>
      <c r="Q49" s="8"/>
      <c r="V49" s="8"/>
      <c r="X49" t="s">
        <v>76</v>
      </c>
      <c r="Y49">
        <f>Y48/100/100</f>
        <v>2.5743961882460281E-2</v>
      </c>
      <c r="Z49" s="8"/>
      <c r="AA49" s="6"/>
      <c r="AB49" s="12" t="s">
        <v>5</v>
      </c>
      <c r="AC49" s="7"/>
      <c r="AD49" s="7"/>
      <c r="AE49" s="7"/>
      <c r="AF49" s="7"/>
      <c r="AG49" s="7"/>
      <c r="AH49" s="7"/>
      <c r="AI49" s="8"/>
    </row>
    <row r="50" spans="1:35" x14ac:dyDescent="0.2">
      <c r="C50" t="s">
        <v>23</v>
      </c>
      <c r="D50">
        <v>0.02</v>
      </c>
      <c r="E50" s="16" t="s">
        <v>41</v>
      </c>
      <c r="F50" t="s">
        <v>207</v>
      </c>
      <c r="G50" s="18">
        <f>G49*D54</f>
        <v>0</v>
      </c>
      <c r="K50" s="8"/>
      <c r="M50" t="s">
        <v>48</v>
      </c>
      <c r="N50">
        <f>N49/E34</f>
        <v>3.4405485232067514</v>
      </c>
      <c r="Q50" s="8"/>
      <c r="S50" t="s">
        <v>204</v>
      </c>
      <c r="T50">
        <v>8</v>
      </c>
      <c r="U50" t="s">
        <v>286</v>
      </c>
      <c r="V50" s="8"/>
      <c r="X50" t="s">
        <v>77</v>
      </c>
      <c r="Y50">
        <f>1/Y49</f>
        <v>38.844059999999999</v>
      </c>
      <c r="Z50" s="8"/>
      <c r="AA50" s="6"/>
      <c r="AB50" s="7"/>
      <c r="AC50" s="7" t="s">
        <v>119</v>
      </c>
      <c r="AD50" s="13">
        <f>650*10000</f>
        <v>6500000</v>
      </c>
      <c r="AE50" s="7"/>
      <c r="AF50" s="7"/>
      <c r="AG50" s="7"/>
      <c r="AH50" s="7"/>
      <c r="AI50" s="8"/>
    </row>
    <row r="51" spans="1:35" x14ac:dyDescent="0.2">
      <c r="C51" t="s">
        <v>24</v>
      </c>
      <c r="D51">
        <v>0.3</v>
      </c>
      <c r="K51" s="8"/>
      <c r="M51" t="s">
        <v>68</v>
      </c>
      <c r="N51">
        <f>N50/X25/T24</f>
        <v>0.34439925157224738</v>
      </c>
      <c r="Q51" s="8"/>
      <c r="S51" t="s">
        <v>205</v>
      </c>
      <c r="T51">
        <f>T50*1000</f>
        <v>8000</v>
      </c>
      <c r="U51" t="s">
        <v>178</v>
      </c>
      <c r="V51" s="8"/>
      <c r="X51" t="s">
        <v>221</v>
      </c>
      <c r="Y51">
        <f>SUM(G40:G42)</f>
        <v>6.3E-2</v>
      </c>
      <c r="Z51" s="8"/>
      <c r="AA51" s="6"/>
      <c r="AB51" s="7"/>
      <c r="AC51" s="7" t="s">
        <v>111</v>
      </c>
      <c r="AD51">
        <v>0.79600000000000004</v>
      </c>
      <c r="AE51" s="7" t="s">
        <v>178</v>
      </c>
      <c r="AF51" s="7"/>
      <c r="AG51" s="7"/>
      <c r="AH51" s="7"/>
      <c r="AI51" s="8"/>
    </row>
    <row r="52" spans="1:35" x14ac:dyDescent="0.2">
      <c r="C52" t="s">
        <v>25</v>
      </c>
      <c r="D52" s="18">
        <f>F25*(1-(SUM(D50:D51)))</f>
        <v>3971879.9999999995</v>
      </c>
      <c r="K52" s="8"/>
      <c r="M52" t="s">
        <v>69</v>
      </c>
      <c r="N52">
        <f>(70*(N51*T24)^0.75)*365</f>
        <v>199570.77280099536</v>
      </c>
      <c r="Q52" s="8"/>
      <c r="S52" t="s">
        <v>203</v>
      </c>
      <c r="T52">
        <f>T51/N44</f>
        <v>400</v>
      </c>
      <c r="V52" s="8"/>
      <c r="X52" s="3" t="s">
        <v>220</v>
      </c>
      <c r="Y52" s="3">
        <f>Y51*Y50*N38</f>
        <v>1389.99584304</v>
      </c>
      <c r="Z52" s="8"/>
      <c r="AA52" s="6"/>
      <c r="AB52" s="7"/>
      <c r="AC52" s="7" t="s">
        <v>112</v>
      </c>
      <c r="AD52">
        <v>0.1</v>
      </c>
      <c r="AE52" s="7" t="s">
        <v>113</v>
      </c>
      <c r="AF52" s="7"/>
      <c r="AG52" s="7"/>
      <c r="AH52" s="7"/>
      <c r="AI52" s="8"/>
    </row>
    <row r="53" spans="1:35" x14ac:dyDescent="0.2">
      <c r="C53" t="s">
        <v>26</v>
      </c>
      <c r="D53" s="18">
        <f>D49/D52</f>
        <v>0</v>
      </c>
      <c r="K53" s="8"/>
      <c r="M53" t="s">
        <v>124</v>
      </c>
      <c r="N53">
        <v>0.9</v>
      </c>
      <c r="O53" s="60">
        <f>SUM(N53:N54)</f>
        <v>1</v>
      </c>
      <c r="Q53" s="8"/>
      <c r="S53" t="s">
        <v>202</v>
      </c>
      <c r="T53">
        <v>551</v>
      </c>
      <c r="V53" s="8"/>
      <c r="Z53" s="8"/>
      <c r="AA53" s="6"/>
      <c r="AB53" s="7"/>
      <c r="AC53" s="7" t="s">
        <v>198</v>
      </c>
      <c r="AD53">
        <f>(AD50)*AD51*(1-AD52)/0.45</f>
        <v>10348000</v>
      </c>
      <c r="AE53" s="7" t="s">
        <v>199</v>
      </c>
      <c r="AF53" s="7"/>
      <c r="AG53" s="7"/>
      <c r="AH53" s="7"/>
      <c r="AI53" s="8"/>
    </row>
    <row r="54" spans="1:35" x14ac:dyDescent="0.2">
      <c r="C54" t="s">
        <v>27</v>
      </c>
      <c r="D54" s="18">
        <f>D53*N38</f>
        <v>0</v>
      </c>
      <c r="K54" s="8"/>
      <c r="M54" t="s">
        <v>70</v>
      </c>
      <c r="N54">
        <v>0.1</v>
      </c>
      <c r="O54" s="60"/>
      <c r="Q54" s="8"/>
      <c r="S54" t="s">
        <v>80</v>
      </c>
      <c r="T54">
        <f>T53*N44/1000</f>
        <v>11.02</v>
      </c>
      <c r="V54" s="8"/>
      <c r="W54" s="23"/>
      <c r="X54" s="9"/>
      <c r="Y54" s="9"/>
      <c r="Z54" s="10"/>
      <c r="AA54" s="6"/>
      <c r="AB54" s="7"/>
      <c r="AC54" s="7" t="s">
        <v>114</v>
      </c>
      <c r="AD54">
        <v>0.23</v>
      </c>
      <c r="AE54" s="7"/>
      <c r="AF54" s="7"/>
      <c r="AG54" s="7"/>
      <c r="AH54" s="7"/>
      <c r="AI54" s="8"/>
    </row>
    <row r="55" spans="1:35" x14ac:dyDescent="0.2">
      <c r="A55" s="9"/>
      <c r="B55" s="9"/>
      <c r="C55" s="9"/>
      <c r="D55" s="9"/>
      <c r="E55" s="9"/>
      <c r="F55" s="9"/>
      <c r="G55" s="9"/>
      <c r="H55" s="9"/>
      <c r="I55" s="9"/>
      <c r="J55" s="9"/>
      <c r="K55" s="10"/>
      <c r="Q55" s="8"/>
      <c r="S55" t="s">
        <v>81</v>
      </c>
      <c r="T55">
        <f>AVERAGE(T52,T53)</f>
        <v>475.5</v>
      </c>
      <c r="V55" s="8"/>
      <c r="Z55" s="8"/>
      <c r="AA55" s="6"/>
      <c r="AB55" s="7"/>
      <c r="AC55" s="7" t="s">
        <v>200</v>
      </c>
      <c r="AD55" s="17">
        <f>AD53*(1-AD54)*(D53)</f>
        <v>0</v>
      </c>
      <c r="AE55" s="7"/>
      <c r="AF55" s="7"/>
      <c r="AG55" s="7"/>
      <c r="AH55" s="7"/>
      <c r="AI55" s="8"/>
    </row>
    <row r="56" spans="1:35" x14ac:dyDescent="0.2">
      <c r="K56" s="8"/>
      <c r="M56" t="s">
        <v>71</v>
      </c>
      <c r="N56">
        <f>(N54*N52)/W33</f>
        <v>5.341169609138146E-2</v>
      </c>
      <c r="Q56" s="8"/>
      <c r="S56" t="s">
        <v>82</v>
      </c>
      <c r="T56">
        <f>T55*N38</f>
        <v>270084</v>
      </c>
      <c r="V56" s="8"/>
      <c r="Z56" s="8"/>
      <c r="AA56" s="6"/>
      <c r="AB56" s="7"/>
      <c r="AC56" s="7" t="s">
        <v>201</v>
      </c>
      <c r="AD56">
        <f>AD55*N31</f>
        <v>0</v>
      </c>
      <c r="AE56" s="7"/>
      <c r="AF56" s="7"/>
      <c r="AG56" s="7"/>
      <c r="AH56" s="7"/>
      <c r="AI56" s="8"/>
    </row>
    <row r="57" spans="1:35" ht="19" x14ac:dyDescent="0.25">
      <c r="B57" s="3" t="s">
        <v>107</v>
      </c>
      <c r="D57" s="3" t="s">
        <v>43</v>
      </c>
      <c r="E57" s="53">
        <f>D64+(D72-G69)+(D80-G77)+G64+(D88+G83)</f>
        <v>177.10682105093727</v>
      </c>
      <c r="K57" s="8"/>
      <c r="M57" t="s">
        <v>72</v>
      </c>
      <c r="N57">
        <f>SUM(N55:N56)</f>
        <v>5.341169609138146E-2</v>
      </c>
      <c r="Q57" s="8"/>
      <c r="S57" t="s">
        <v>83</v>
      </c>
      <c r="T57">
        <f>T56/N43</f>
        <v>209367.4418604651</v>
      </c>
      <c r="V57" s="8"/>
      <c r="W57" s="27"/>
      <c r="Z57" s="8"/>
      <c r="AA57" s="6"/>
      <c r="AB57" s="7"/>
      <c r="AC57" s="7"/>
      <c r="AD57" s="7"/>
      <c r="AE57" s="7"/>
      <c r="AF57" s="7"/>
      <c r="AG57" s="7"/>
      <c r="AH57" s="7"/>
      <c r="AI57" s="8"/>
    </row>
    <row r="58" spans="1:35" x14ac:dyDescent="0.2">
      <c r="C58" s="3" t="s">
        <v>318</v>
      </c>
      <c r="K58" s="8"/>
      <c r="M58" s="3" t="s">
        <v>73</v>
      </c>
      <c r="N58" s="3">
        <f>N57*N31</f>
        <v>30.337843379904669</v>
      </c>
      <c r="Q58" s="8"/>
      <c r="S58" t="s">
        <v>84</v>
      </c>
      <c r="T58">
        <f>T57/10000</f>
        <v>20.936744186046511</v>
      </c>
      <c r="V58" s="8"/>
      <c r="X58" s="7"/>
      <c r="Y58" s="7"/>
      <c r="Z58" s="8"/>
      <c r="AA58" s="6"/>
      <c r="AB58" s="12" t="s">
        <v>116</v>
      </c>
      <c r="AC58" s="7"/>
      <c r="AD58" s="7"/>
      <c r="AE58" s="7"/>
      <c r="AF58" s="7"/>
      <c r="AG58" s="7"/>
      <c r="AH58" s="7"/>
      <c r="AI58" s="8"/>
    </row>
    <row r="59" spans="1:35" x14ac:dyDescent="0.2">
      <c r="C59" t="s">
        <v>22</v>
      </c>
      <c r="D59">
        <f>G28*N25</f>
        <v>361226.63</v>
      </c>
      <c r="F59" t="s">
        <v>210</v>
      </c>
      <c r="K59" s="8"/>
      <c r="M59" s="3" t="s">
        <v>74</v>
      </c>
      <c r="N59" s="3">
        <f>N51*N31</f>
        <v>195.61877489303652</v>
      </c>
      <c r="Q59" s="8"/>
      <c r="V59" s="8"/>
      <c r="X59" s="39"/>
      <c r="Y59" s="7"/>
      <c r="Z59" s="8"/>
      <c r="AA59" s="6"/>
      <c r="AB59" s="7"/>
      <c r="AC59" s="7" t="s">
        <v>110</v>
      </c>
      <c r="AD59" s="13">
        <f>650*10000</f>
        <v>6500000</v>
      </c>
      <c r="AE59" s="7"/>
      <c r="AF59" s="7"/>
      <c r="AH59" s="7"/>
      <c r="AI59" s="8"/>
    </row>
    <row r="60" spans="1:35" x14ac:dyDescent="0.2">
      <c r="C60" t="s">
        <v>23</v>
      </c>
      <c r="D60">
        <v>0.1</v>
      </c>
      <c r="F60" t="s">
        <v>42</v>
      </c>
      <c r="G60">
        <v>0.1</v>
      </c>
      <c r="K60" s="8"/>
      <c r="M60" s="3" t="s">
        <v>123</v>
      </c>
      <c r="N60" s="3">
        <f>N59*(N52/N51)</f>
        <v>113356198.95096536</v>
      </c>
      <c r="Q60" s="8"/>
      <c r="V60" s="8"/>
      <c r="W60" s="7"/>
      <c r="X60" s="7"/>
      <c r="Y60" s="7"/>
      <c r="Z60" s="8"/>
      <c r="AA60" s="6"/>
      <c r="AB60" s="7"/>
      <c r="AC60" s="7" t="s">
        <v>111</v>
      </c>
      <c r="AD60" s="7">
        <v>0.6</v>
      </c>
      <c r="AE60" t="s">
        <v>231</v>
      </c>
      <c r="AF60" s="7"/>
      <c r="AG60" s="7"/>
      <c r="AH60" s="7"/>
      <c r="AI60" s="8"/>
    </row>
    <row r="61" spans="1:35" x14ac:dyDescent="0.2">
      <c r="C61" t="s">
        <v>24</v>
      </c>
      <c r="D61">
        <v>0.3</v>
      </c>
      <c r="F61" t="s">
        <v>6</v>
      </c>
      <c r="G61">
        <v>0</v>
      </c>
      <c r="K61" s="8"/>
      <c r="Q61" s="8"/>
      <c r="R61" s="3" t="s">
        <v>94</v>
      </c>
      <c r="V61" s="8"/>
      <c r="X61" s="55"/>
      <c r="Y61" s="45"/>
      <c r="Z61" s="8"/>
      <c r="AA61" s="6"/>
      <c r="AB61" s="7"/>
      <c r="AC61" s="7" t="s">
        <v>112</v>
      </c>
      <c r="AD61" s="7">
        <v>0.1</v>
      </c>
      <c r="AF61" s="7"/>
      <c r="AG61" s="7"/>
      <c r="AH61" s="7"/>
      <c r="AI61" s="8"/>
    </row>
    <row r="62" spans="1:35" x14ac:dyDescent="0.2">
      <c r="C62" t="s">
        <v>25</v>
      </c>
      <c r="D62" s="18">
        <f>F28*(1-(D60+D61))</f>
        <v>2850000</v>
      </c>
      <c r="F62" t="s">
        <v>247</v>
      </c>
      <c r="G62">
        <v>0</v>
      </c>
      <c r="K62" s="8"/>
      <c r="Q62" s="8"/>
      <c r="S62" t="s">
        <v>95</v>
      </c>
      <c r="T62">
        <v>30</v>
      </c>
      <c r="U62" s="16" t="s">
        <v>178</v>
      </c>
      <c r="V62" s="8"/>
      <c r="X62" s="40"/>
      <c r="Y62" s="3"/>
      <c r="Z62" s="8"/>
      <c r="AA62" s="6"/>
      <c r="AB62" s="7"/>
      <c r="AC62" s="7" t="s">
        <v>118</v>
      </c>
      <c r="AD62">
        <f>(AD59)*AD60*(1-AD61)/0.45</f>
        <v>7800000</v>
      </c>
      <c r="AF62" s="7"/>
      <c r="AG62" s="7"/>
      <c r="AH62" s="7"/>
      <c r="AI62" s="8"/>
    </row>
    <row r="63" spans="1:35" x14ac:dyDescent="0.2">
      <c r="C63" t="s">
        <v>26</v>
      </c>
      <c r="D63" s="18">
        <f>D59/D62</f>
        <v>0.12674618596491227</v>
      </c>
      <c r="F63" t="s">
        <v>281</v>
      </c>
      <c r="G63">
        <v>0.1</v>
      </c>
      <c r="K63" s="8"/>
      <c r="Q63" s="8"/>
      <c r="S63" t="s">
        <v>96</v>
      </c>
      <c r="T63">
        <v>1.5</v>
      </c>
      <c r="U63" s="45" t="s">
        <v>250</v>
      </c>
      <c r="V63" s="8"/>
      <c r="X63" s="11"/>
      <c r="Z63" s="8"/>
      <c r="AA63" s="6"/>
      <c r="AB63" s="7"/>
      <c r="AC63" s="7" t="s">
        <v>114</v>
      </c>
      <c r="AD63" s="7">
        <v>0.5</v>
      </c>
      <c r="AE63" t="s">
        <v>232</v>
      </c>
      <c r="AF63" s="7"/>
      <c r="AG63" s="7"/>
      <c r="AH63" s="7"/>
      <c r="AI63" s="8"/>
    </row>
    <row r="64" spans="1:35" x14ac:dyDescent="0.2">
      <c r="C64" t="s">
        <v>27</v>
      </c>
      <c r="D64" s="18">
        <f>D63*N38</f>
        <v>71.991833628070168</v>
      </c>
      <c r="F64" t="s">
        <v>207</v>
      </c>
      <c r="G64" s="18">
        <f>G60*D64</f>
        <v>7.199183362807017</v>
      </c>
      <c r="K64" s="8"/>
      <c r="L64" s="29" t="s">
        <v>176</v>
      </c>
      <c r="Q64" s="8"/>
      <c r="S64" t="s">
        <v>97</v>
      </c>
      <c r="T64">
        <f>T63*T62</f>
        <v>45</v>
      </c>
      <c r="U64" s="16"/>
      <c r="V64" s="8"/>
      <c r="Z64" s="8"/>
      <c r="AA64" s="6"/>
      <c r="AB64" s="7"/>
      <c r="AC64" s="7" t="s">
        <v>115</v>
      </c>
      <c r="AD64" s="17">
        <f>AD62*(1-AD63)*D63</f>
        <v>494310.12526315788</v>
      </c>
      <c r="AE64" s="7"/>
      <c r="AF64" s="7"/>
      <c r="AG64" s="7"/>
      <c r="AH64" s="7"/>
      <c r="AI64" s="8"/>
    </row>
    <row r="65" spans="3:35" x14ac:dyDescent="0.2">
      <c r="K65" s="8"/>
      <c r="L65" s="30"/>
      <c r="M65" t="s">
        <v>51</v>
      </c>
      <c r="N65">
        <f>N25*G37</f>
        <v>0</v>
      </c>
      <c r="Q65" s="8"/>
      <c r="S65" t="s">
        <v>98</v>
      </c>
      <c r="T65">
        <v>2</v>
      </c>
      <c r="U65" s="16" t="s">
        <v>178</v>
      </c>
      <c r="V65" s="8"/>
      <c r="Z65" s="8"/>
      <c r="AA65" s="6"/>
      <c r="AB65" s="7"/>
      <c r="AC65" s="7" t="s">
        <v>117</v>
      </c>
      <c r="AD65" s="7">
        <f>AD64*N31</f>
        <v>280768151.14947367</v>
      </c>
      <c r="AE65" s="7"/>
      <c r="AF65" s="7"/>
      <c r="AG65" s="7"/>
      <c r="AH65" s="7"/>
      <c r="AI65" s="8"/>
    </row>
    <row r="66" spans="3:35" x14ac:dyDescent="0.2">
      <c r="C66" s="3" t="s">
        <v>312</v>
      </c>
      <c r="K66" s="8"/>
      <c r="M66" t="s">
        <v>48</v>
      </c>
      <c r="N66">
        <f>N65/E37</f>
        <v>0</v>
      </c>
      <c r="Q66" s="8"/>
      <c r="S66" t="s">
        <v>89</v>
      </c>
      <c r="T66">
        <v>4</v>
      </c>
      <c r="V66" s="8"/>
      <c r="Z66" s="8"/>
      <c r="AA66" s="6"/>
      <c r="AB66" s="7"/>
      <c r="AC66" s="7"/>
      <c r="AD66" s="7"/>
      <c r="AE66" s="7"/>
      <c r="AF66" s="7"/>
      <c r="AG66" s="7"/>
      <c r="AH66" s="7"/>
      <c r="AI66" s="8"/>
    </row>
    <row r="67" spans="3:35" x14ac:dyDescent="0.2">
      <c r="C67" t="s">
        <v>22</v>
      </c>
      <c r="D67">
        <f>G27*N25</f>
        <v>260931.20000000001</v>
      </c>
      <c r="F67" s="59" t="s">
        <v>245</v>
      </c>
      <c r="G67" s="62">
        <v>0.12</v>
      </c>
      <c r="K67" s="8"/>
      <c r="M67" t="s">
        <v>54</v>
      </c>
      <c r="N67">
        <f>N66/X24/T25</f>
        <v>0</v>
      </c>
      <c r="Q67" s="8"/>
      <c r="S67" t="s">
        <v>99</v>
      </c>
      <c r="T67">
        <f>T66*T65*T64</f>
        <v>360</v>
      </c>
      <c r="V67" s="8"/>
      <c r="Z67" s="8"/>
      <c r="AA67" s="6"/>
      <c r="AB67" s="12" t="s">
        <v>120</v>
      </c>
      <c r="AC67" s="7"/>
      <c r="AD67" s="7"/>
      <c r="AE67" s="7"/>
      <c r="AF67" s="7"/>
      <c r="AG67" s="7"/>
      <c r="AH67" s="7"/>
      <c r="AI67" s="8"/>
    </row>
    <row r="68" spans="3:35" x14ac:dyDescent="0.2">
      <c r="C68" t="s">
        <v>23</v>
      </c>
      <c r="D68">
        <v>0.1</v>
      </c>
      <c r="F68" s="59"/>
      <c r="G68" s="62"/>
      <c r="K68" s="8"/>
      <c r="M68" t="s">
        <v>55</v>
      </c>
      <c r="N68">
        <f>(70*(N67*T25)^0.75)*365</f>
        <v>0</v>
      </c>
      <c r="Q68" s="8"/>
      <c r="S68" t="s">
        <v>100</v>
      </c>
      <c r="T68">
        <f>T67*N44/1000</f>
        <v>7.2</v>
      </c>
      <c r="V68" s="8"/>
      <c r="Z68" s="8"/>
      <c r="AA68" s="6"/>
      <c r="AB68" s="7"/>
      <c r="AC68" s="7" t="s">
        <v>110</v>
      </c>
      <c r="AD68" s="13">
        <f>650*10000</f>
        <v>6500000</v>
      </c>
      <c r="AE68" s="7"/>
      <c r="AF68" s="7"/>
      <c r="AG68" s="7" t="s">
        <v>222</v>
      </c>
      <c r="AH68" s="7"/>
      <c r="AI68" s="8"/>
    </row>
    <row r="69" spans="3:35" x14ac:dyDescent="0.2">
      <c r="C69" t="s">
        <v>24</v>
      </c>
      <c r="D69">
        <v>0.3</v>
      </c>
      <c r="F69" s="3" t="s">
        <v>246</v>
      </c>
      <c r="G69" s="3">
        <f>G67*D72</f>
        <v>13.352155099099098</v>
      </c>
      <c r="K69" s="8"/>
      <c r="M69" t="s">
        <v>258</v>
      </c>
      <c r="N69">
        <v>0.6</v>
      </c>
      <c r="O69" s="60">
        <f>SUM(N69:N71)</f>
        <v>1</v>
      </c>
      <c r="P69" t="s">
        <v>241</v>
      </c>
      <c r="Q69" s="8"/>
      <c r="S69" t="s">
        <v>101</v>
      </c>
      <c r="T69">
        <f>T67*N38</f>
        <v>204480</v>
      </c>
      <c r="V69" s="8"/>
      <c r="Z69" s="8"/>
      <c r="AA69" s="6"/>
      <c r="AB69" s="7"/>
      <c r="AC69" s="7" t="s">
        <v>111</v>
      </c>
      <c r="AD69" s="7">
        <v>0.59</v>
      </c>
      <c r="AE69" s="7" t="s">
        <v>226</v>
      </c>
      <c r="AF69" s="7"/>
      <c r="AG69" s="7"/>
      <c r="AH69" s="7"/>
      <c r="AI69" s="8"/>
    </row>
    <row r="70" spans="3:35" x14ac:dyDescent="0.2">
      <c r="C70" t="s">
        <v>25</v>
      </c>
      <c r="D70" s="18">
        <f>F27*(1-SUM(D68:D69))</f>
        <v>1332000</v>
      </c>
      <c r="K70" s="8"/>
      <c r="M70" t="s">
        <v>259</v>
      </c>
      <c r="N70">
        <v>0.1</v>
      </c>
      <c r="O70" s="60"/>
      <c r="Q70" s="8"/>
      <c r="S70" t="s">
        <v>102</v>
      </c>
      <c r="T70">
        <v>0</v>
      </c>
      <c r="U70" t="s">
        <v>209</v>
      </c>
      <c r="V70" s="8"/>
      <c r="Z70" s="8"/>
      <c r="AA70" s="6"/>
      <c r="AB70" s="7"/>
      <c r="AC70" s="7" t="s">
        <v>112</v>
      </c>
      <c r="AD70" s="7">
        <v>0.1</v>
      </c>
      <c r="AE70" s="7"/>
      <c r="AF70" s="7"/>
      <c r="AG70" s="7"/>
      <c r="AH70" s="7"/>
      <c r="AI70" s="8"/>
    </row>
    <row r="71" spans="3:35" x14ac:dyDescent="0.2">
      <c r="C71" t="s">
        <v>26</v>
      </c>
      <c r="D71" s="18">
        <f>D67/D70</f>
        <v>0.19589429429429431</v>
      </c>
      <c r="K71" s="8"/>
      <c r="M71" t="s">
        <v>260</v>
      </c>
      <c r="N71">
        <v>0.3</v>
      </c>
      <c r="O71" s="60"/>
      <c r="Q71" s="8"/>
      <c r="V71" s="8"/>
      <c r="Z71" s="8"/>
      <c r="AA71" s="6"/>
      <c r="AB71" s="7"/>
      <c r="AC71" s="7" t="s">
        <v>118</v>
      </c>
      <c r="AD71">
        <f>(AD68)*AD69*(1-AD70)/0.45</f>
        <v>7670000</v>
      </c>
      <c r="AE71" s="7"/>
      <c r="AF71" s="7"/>
      <c r="AG71" s="7"/>
      <c r="AH71" s="7"/>
      <c r="AI71" s="8"/>
    </row>
    <row r="72" spans="3:35" x14ac:dyDescent="0.2">
      <c r="C72" t="s">
        <v>27</v>
      </c>
      <c r="D72" s="18">
        <f>D71*N38</f>
        <v>111.26795915915916</v>
      </c>
      <c r="K72" s="8"/>
      <c r="M72" t="s">
        <v>49</v>
      </c>
      <c r="N72">
        <f>N69*N68/W31</f>
        <v>0</v>
      </c>
      <c r="Q72" s="8"/>
      <c r="S72" s="16" t="s">
        <v>183</v>
      </c>
      <c r="V72" s="8"/>
      <c r="Z72" s="8"/>
      <c r="AA72" s="6"/>
      <c r="AB72" s="7"/>
      <c r="AC72" s="7" t="s">
        <v>114</v>
      </c>
      <c r="AD72" s="7">
        <v>0.52</v>
      </c>
      <c r="AE72" s="7" t="s">
        <v>227</v>
      </c>
      <c r="AF72" s="7"/>
      <c r="AG72" s="7"/>
      <c r="AH72" s="7"/>
      <c r="AI72" s="8"/>
    </row>
    <row r="73" spans="3:35" x14ac:dyDescent="0.2">
      <c r="K73" s="8"/>
      <c r="M73" t="s">
        <v>50</v>
      </c>
      <c r="N73">
        <f>N70*N68/W32</f>
        <v>0</v>
      </c>
      <c r="Q73" s="8"/>
      <c r="V73" s="8"/>
      <c r="Z73" s="8"/>
      <c r="AA73" s="6"/>
      <c r="AB73" s="7"/>
      <c r="AC73" s="7" t="s">
        <v>115</v>
      </c>
      <c r="AD73" s="17">
        <f>AD71*(1-AD72)*D71</f>
        <v>721204.4338738739</v>
      </c>
      <c r="AE73" s="7"/>
      <c r="AF73" s="7"/>
      <c r="AG73" s="7"/>
      <c r="AH73" s="7"/>
      <c r="AI73" s="8"/>
    </row>
    <row r="74" spans="3:35" x14ac:dyDescent="0.2">
      <c r="C74" s="3" t="s">
        <v>314</v>
      </c>
      <c r="F74" s="59" t="s">
        <v>248</v>
      </c>
      <c r="G74" s="60">
        <v>1</v>
      </c>
      <c r="K74" s="8"/>
      <c r="M74" t="s">
        <v>254</v>
      </c>
      <c r="N74">
        <f>SUM(N72:N73)</f>
        <v>0</v>
      </c>
      <c r="Q74" s="8"/>
      <c r="V74" s="8"/>
      <c r="Z74" s="8"/>
      <c r="AA74" s="6"/>
      <c r="AB74" s="7"/>
      <c r="AC74" s="7" t="s">
        <v>117</v>
      </c>
      <c r="AD74" s="7">
        <f>$N$31*AD73</f>
        <v>409644118.44036037</v>
      </c>
      <c r="AE74" s="7"/>
      <c r="AF74" s="7"/>
      <c r="AG74" s="7"/>
      <c r="AH74" s="7"/>
      <c r="AI74" s="8"/>
    </row>
    <row r="75" spans="3:35" x14ac:dyDescent="0.2">
      <c r="C75" t="s">
        <v>22</v>
      </c>
      <c r="D75">
        <f>G32*N25</f>
        <v>12231.15</v>
      </c>
      <c r="F75" s="59"/>
      <c r="G75" s="60"/>
      <c r="K75" s="8"/>
      <c r="M75" s="3" t="s">
        <v>255</v>
      </c>
      <c r="N75" s="3">
        <f>N74*N31</f>
        <v>0</v>
      </c>
      <c r="Q75" s="8"/>
      <c r="R75" s="3" t="s">
        <v>184</v>
      </c>
      <c r="V75" s="8"/>
      <c r="Z75" s="8"/>
      <c r="AA75" s="6"/>
      <c r="AB75" s="7"/>
      <c r="AC75" s="7"/>
      <c r="AD75" s="7"/>
      <c r="AE75" s="7"/>
      <c r="AF75" s="7"/>
      <c r="AG75" s="7"/>
      <c r="AH75" s="7"/>
      <c r="AI75" s="8"/>
    </row>
    <row r="76" spans="3:35" x14ac:dyDescent="0.2">
      <c r="C76" t="s">
        <v>23</v>
      </c>
      <c r="D76">
        <v>0</v>
      </c>
      <c r="F76" s="59"/>
      <c r="G76" s="60"/>
      <c r="K76" s="8"/>
      <c r="M76" s="3" t="s">
        <v>256</v>
      </c>
      <c r="N76" s="3">
        <f>N67*N31</f>
        <v>0</v>
      </c>
      <c r="Q76" s="8"/>
      <c r="S76" t="s">
        <v>87</v>
      </c>
      <c r="T76">
        <v>1.5</v>
      </c>
      <c r="U76" s="16" t="s">
        <v>178</v>
      </c>
      <c r="V76" s="8"/>
      <c r="Z76" s="8"/>
      <c r="AA76" s="6"/>
      <c r="AB76" s="12" t="s">
        <v>134</v>
      </c>
      <c r="AC76" s="7"/>
      <c r="AD76" s="7"/>
      <c r="AE76" s="7"/>
      <c r="AF76" s="7"/>
      <c r="AG76" s="7"/>
      <c r="AH76" s="7"/>
      <c r="AI76" s="8"/>
    </row>
    <row r="77" spans="3:35" x14ac:dyDescent="0.2">
      <c r="C77" t="s">
        <v>24</v>
      </c>
      <c r="D77">
        <v>0.3</v>
      </c>
      <c r="F77" t="s">
        <v>249</v>
      </c>
      <c r="G77">
        <f>G74*D80</f>
        <v>2.0172163763066204</v>
      </c>
      <c r="K77" s="8"/>
      <c r="Q77" s="8"/>
      <c r="S77" t="s">
        <v>88</v>
      </c>
      <c r="T77">
        <v>82</v>
      </c>
      <c r="U77" s="16" t="s">
        <v>103</v>
      </c>
      <c r="V77" s="8"/>
      <c r="Z77" s="8"/>
      <c r="AA77" s="6"/>
      <c r="AB77" s="7"/>
      <c r="AC77" s="7" t="s">
        <v>125</v>
      </c>
      <c r="AD77">
        <f>((((40+96)/2)/1.28)/1.331)*0.67</f>
        <v>26.742111194590535</v>
      </c>
      <c r="AE77" s="7"/>
      <c r="AF77" s="7" t="s">
        <v>228</v>
      </c>
      <c r="AG77" s="7"/>
      <c r="AH77" s="7"/>
      <c r="AI77" s="8"/>
    </row>
    <row r="78" spans="3:35" x14ac:dyDescent="0.2">
      <c r="C78" t="s">
        <v>25</v>
      </c>
      <c r="D78" s="18">
        <f>F32*(1-SUM(D76:D77))</f>
        <v>3444000</v>
      </c>
      <c r="K78" s="8"/>
      <c r="M78" s="3" t="s">
        <v>243</v>
      </c>
      <c r="Q78" s="8"/>
      <c r="S78" t="s">
        <v>89</v>
      </c>
      <c r="T78">
        <v>4</v>
      </c>
      <c r="U78" s="16"/>
      <c r="V78" s="8"/>
      <c r="Z78" s="8"/>
      <c r="AA78" s="6"/>
      <c r="AB78" s="7"/>
      <c r="AC78" s="7" t="s">
        <v>126</v>
      </c>
      <c r="AD78">
        <f>((40+96)/2)</f>
        <v>68</v>
      </c>
      <c r="AE78" s="7"/>
      <c r="AF78" s="7" t="s">
        <v>229</v>
      </c>
      <c r="AG78" s="7"/>
      <c r="AH78" s="7"/>
      <c r="AI78" s="8"/>
    </row>
    <row r="79" spans="3:35" x14ac:dyDescent="0.2">
      <c r="C79" t="s">
        <v>26</v>
      </c>
      <c r="D79" s="18">
        <f>D75/D78</f>
        <v>3.5514372822299653E-3</v>
      </c>
      <c r="K79" s="8"/>
      <c r="Q79" s="8"/>
      <c r="S79" t="s">
        <v>90</v>
      </c>
      <c r="T79">
        <f>T76*T77*T78</f>
        <v>492</v>
      </c>
      <c r="U79" s="16"/>
      <c r="V79" s="8"/>
      <c r="Z79" s="8"/>
      <c r="AA79" s="6"/>
      <c r="AB79" s="7"/>
      <c r="AC79" s="7" t="s">
        <v>127</v>
      </c>
      <c r="AD79">
        <f>AD78-AD77</f>
        <v>41.257888805409465</v>
      </c>
      <c r="AE79" s="7"/>
      <c r="AF79" s="7" t="s">
        <v>230</v>
      </c>
      <c r="AG79" s="7"/>
      <c r="AH79" s="7"/>
      <c r="AI79" s="8"/>
    </row>
    <row r="80" spans="3:35" x14ac:dyDescent="0.2">
      <c r="C80" t="s">
        <v>27</v>
      </c>
      <c r="D80" s="18">
        <f>D79*N38</f>
        <v>2.0172163763066204</v>
      </c>
      <c r="K80" s="8"/>
      <c r="L80" s="29" t="s">
        <v>257</v>
      </c>
      <c r="Q80" s="8"/>
      <c r="S80" t="s">
        <v>91</v>
      </c>
      <c r="T80">
        <f>T79*N44/1000</f>
        <v>9.84</v>
      </c>
      <c r="U80" s="16"/>
      <c r="V80" s="8"/>
      <c r="Z80" s="8"/>
      <c r="AA80" s="6"/>
      <c r="AB80" s="7"/>
      <c r="AC80" s="7" t="s">
        <v>128</v>
      </c>
      <c r="AD80">
        <f>(AD77)*E41</f>
        <v>23800.478963185575</v>
      </c>
      <c r="AE80" s="7"/>
      <c r="AF80" s="7"/>
      <c r="AG80" s="7"/>
      <c r="AH80" s="7"/>
      <c r="AI80" s="8"/>
    </row>
    <row r="81" spans="1:35" x14ac:dyDescent="0.2">
      <c r="A81" s="7"/>
      <c r="B81" s="7"/>
      <c r="C81" s="7"/>
      <c r="D81" s="7"/>
      <c r="K81" s="8"/>
      <c r="M81" t="s">
        <v>261</v>
      </c>
      <c r="N81">
        <f>N25*G38</f>
        <v>0</v>
      </c>
      <c r="Q81" s="8"/>
      <c r="S81" t="s">
        <v>92</v>
      </c>
      <c r="T81">
        <f>T79*N38</f>
        <v>279456</v>
      </c>
      <c r="U81" s="16"/>
      <c r="V81" s="8"/>
      <c r="Z81" s="8"/>
      <c r="AA81" s="6"/>
      <c r="AB81" s="7"/>
      <c r="AC81" s="7" t="s">
        <v>129</v>
      </c>
      <c r="AD81">
        <f>AD79*E41</f>
        <v>36719.521036814425</v>
      </c>
      <c r="AE81" s="7"/>
      <c r="AF81" s="7"/>
      <c r="AG81" s="7"/>
      <c r="AH81" s="7"/>
      <c r="AI81" s="8"/>
    </row>
    <row r="82" spans="1:35" x14ac:dyDescent="0.2">
      <c r="C82" s="3" t="s">
        <v>313</v>
      </c>
      <c r="K82" s="8"/>
      <c r="M82" t="s">
        <v>48</v>
      </c>
      <c r="N82">
        <f>N81/E38</f>
        <v>0</v>
      </c>
      <c r="Q82" s="8"/>
      <c r="S82" t="s">
        <v>93</v>
      </c>
      <c r="T82">
        <f>T81/N43/10000</f>
        <v>21.663255813953487</v>
      </c>
      <c r="U82" s="16"/>
      <c r="V82" s="8"/>
      <c r="Z82" s="8"/>
      <c r="AA82" s="6"/>
      <c r="AB82" s="7"/>
      <c r="AC82" s="7" t="s">
        <v>130</v>
      </c>
      <c r="AD82">
        <f>N25*G41</f>
        <v>13046.56</v>
      </c>
      <c r="AE82" s="7"/>
      <c r="AF82" s="7"/>
      <c r="AG82" s="7"/>
      <c r="AH82" s="7"/>
      <c r="AI82" s="8"/>
    </row>
    <row r="83" spans="1:35" x14ac:dyDescent="0.2">
      <c r="C83" t="s">
        <v>22</v>
      </c>
      <c r="D83">
        <f>G26*N25</f>
        <v>0</v>
      </c>
      <c r="F83" t="s">
        <v>207</v>
      </c>
      <c r="G83" s="18">
        <f>G63*D88</f>
        <v>0</v>
      </c>
      <c r="K83" s="8"/>
      <c r="M83" t="s">
        <v>262</v>
      </c>
      <c r="N83">
        <f>N82/X26/T26</f>
        <v>0</v>
      </c>
      <c r="Q83" s="8"/>
      <c r="V83" s="8"/>
      <c r="Z83" s="8"/>
      <c r="AA83" s="6"/>
      <c r="AB83" s="7"/>
      <c r="AC83" s="7" t="s">
        <v>131</v>
      </c>
      <c r="AD83">
        <f>AD82/AD80</f>
        <v>0.54816375839243958</v>
      </c>
      <c r="AE83" s="7"/>
      <c r="AF83" s="7"/>
      <c r="AG83" s="7"/>
      <c r="AH83" s="7"/>
      <c r="AI83" s="8"/>
    </row>
    <row r="84" spans="1:35" x14ac:dyDescent="0.2">
      <c r="C84" t="s">
        <v>23</v>
      </c>
      <c r="D84">
        <v>0.1</v>
      </c>
      <c r="K84" s="8"/>
      <c r="M84" t="s">
        <v>263</v>
      </c>
      <c r="N84">
        <f>(70*(N83*T26)^0.75)*365</f>
        <v>0</v>
      </c>
      <c r="Q84" s="8"/>
      <c r="S84" s="16" t="s">
        <v>183</v>
      </c>
      <c r="V84" s="8"/>
      <c r="Z84" s="8"/>
      <c r="AA84" s="6"/>
      <c r="AB84" s="7"/>
      <c r="AC84" s="7" t="s">
        <v>132</v>
      </c>
      <c r="AD84">
        <f>AD83*N31</f>
        <v>311.35701476690571</v>
      </c>
      <c r="AE84" s="7"/>
      <c r="AF84" s="7"/>
      <c r="AG84" s="7"/>
      <c r="AH84" s="7"/>
      <c r="AI84" s="8"/>
    </row>
    <row r="85" spans="1:35" x14ac:dyDescent="0.2">
      <c r="C85" t="s">
        <v>24</v>
      </c>
      <c r="D85">
        <v>0.3</v>
      </c>
      <c r="K85" s="8"/>
      <c r="M85" t="s">
        <v>264</v>
      </c>
      <c r="N85">
        <v>0.65</v>
      </c>
      <c r="O85" s="60">
        <f>SUM(N85:N87)</f>
        <v>1</v>
      </c>
      <c r="Q85" s="8"/>
      <c r="V85" s="8"/>
      <c r="Z85" s="8"/>
      <c r="AA85" s="6"/>
      <c r="AB85" s="7"/>
      <c r="AC85" s="7" t="s">
        <v>133</v>
      </c>
      <c r="AD85">
        <f>AD84*AD79</f>
        <v>12845.933094037229</v>
      </c>
      <c r="AE85" s="7"/>
      <c r="AF85" s="7"/>
      <c r="AG85" s="7"/>
      <c r="AH85" s="7"/>
      <c r="AI85" s="8"/>
    </row>
    <row r="86" spans="1:35" x14ac:dyDescent="0.2">
      <c r="C86" t="s">
        <v>25</v>
      </c>
      <c r="D86" s="18">
        <f>F26*(1-(D84+D85))</f>
        <v>4752000</v>
      </c>
      <c r="K86" s="8"/>
      <c r="M86" t="s">
        <v>265</v>
      </c>
      <c r="N86">
        <v>0.1</v>
      </c>
      <c r="O86" s="60"/>
      <c r="Q86" s="8"/>
      <c r="V86" s="8"/>
      <c r="Z86" s="8"/>
      <c r="AA86" s="6"/>
      <c r="AB86" s="7"/>
      <c r="AC86" s="11" t="s">
        <v>187</v>
      </c>
      <c r="AD86" s="7">
        <f>AD84*AD81</f>
        <v>11432880.453693133</v>
      </c>
      <c r="AE86" s="7"/>
      <c r="AF86" s="7"/>
      <c r="AG86" s="7"/>
      <c r="AH86" s="7"/>
      <c r="AI86" s="8"/>
    </row>
    <row r="87" spans="1:35" x14ac:dyDescent="0.2">
      <c r="C87" t="s">
        <v>26</v>
      </c>
      <c r="D87" s="18">
        <f>D83/D86</f>
        <v>0</v>
      </c>
      <c r="K87" s="8"/>
      <c r="M87" t="s">
        <v>270</v>
      </c>
      <c r="N87">
        <v>0.25</v>
      </c>
      <c r="O87" s="60"/>
      <c r="Q87" s="8"/>
      <c r="R87" s="3" t="s">
        <v>244</v>
      </c>
      <c r="V87" s="8"/>
      <c r="Z87" s="8"/>
      <c r="AA87" s="6"/>
      <c r="AB87" s="12" t="s">
        <v>137</v>
      </c>
      <c r="AC87" s="7"/>
      <c r="AD87" s="7"/>
      <c r="AE87" s="7"/>
      <c r="AF87" s="7"/>
      <c r="AG87" s="7"/>
      <c r="AH87" s="7"/>
      <c r="AI87" s="8"/>
    </row>
    <row r="88" spans="1:35" x14ac:dyDescent="0.2">
      <c r="C88" t="s">
        <v>27</v>
      </c>
      <c r="D88" s="18">
        <f>D87*N38</f>
        <v>0</v>
      </c>
      <c r="K88" s="8"/>
      <c r="M88" t="s">
        <v>49</v>
      </c>
      <c r="N88">
        <f>N84*N85/W31</f>
        <v>0</v>
      </c>
      <c r="Q88" s="8"/>
      <c r="V88" s="8"/>
      <c r="Z88" s="8"/>
      <c r="AA88" s="6"/>
      <c r="AB88" s="7"/>
      <c r="AC88" s="7" t="s">
        <v>135</v>
      </c>
      <c r="AD88">
        <v>0.9</v>
      </c>
      <c r="AE88" s="7" t="s">
        <v>233</v>
      </c>
      <c r="AF88" s="7"/>
      <c r="AG88" s="7"/>
      <c r="AH88" s="7"/>
      <c r="AI88" s="8"/>
    </row>
    <row r="89" spans="1:35" x14ac:dyDescent="0.2">
      <c r="K89" s="8"/>
      <c r="M89" t="s">
        <v>50</v>
      </c>
      <c r="N89">
        <f>N86*N84/W32</f>
        <v>0</v>
      </c>
      <c r="Q89" s="8"/>
      <c r="V89" s="8"/>
      <c r="Z89" s="8"/>
      <c r="AA89" s="6"/>
      <c r="AB89" s="7"/>
      <c r="AC89" s="7" t="s">
        <v>136</v>
      </c>
      <c r="AD89">
        <v>0.2</v>
      </c>
      <c r="AE89" s="7" t="s">
        <v>234</v>
      </c>
      <c r="AF89" s="7"/>
      <c r="AG89" s="7"/>
      <c r="AH89" s="7"/>
      <c r="AI89" s="8"/>
    </row>
    <row r="90" spans="1:35" x14ac:dyDescent="0.2">
      <c r="A90" s="9"/>
      <c r="B90" s="9"/>
      <c r="C90" s="9"/>
      <c r="D90" s="9"/>
      <c r="E90" s="9"/>
      <c r="F90" s="9"/>
      <c r="G90" s="9"/>
      <c r="H90" s="9"/>
      <c r="I90" s="9"/>
      <c r="J90" s="9"/>
      <c r="K90" s="10"/>
      <c r="M90" t="s">
        <v>271</v>
      </c>
      <c r="N90">
        <f>N87*N84/W33</f>
        <v>0</v>
      </c>
      <c r="Q90" s="8"/>
      <c r="V90" s="8"/>
      <c r="Z90" s="8"/>
      <c r="AA90" s="6"/>
      <c r="AB90" s="7"/>
      <c r="AC90" s="7" t="s">
        <v>143</v>
      </c>
      <c r="AD90">
        <f>(1-AD88)*AD89</f>
        <v>1.9999999999999997E-2</v>
      </c>
      <c r="AE90" s="7"/>
      <c r="AF90" s="7"/>
      <c r="AG90" s="7"/>
      <c r="AH90" s="7"/>
      <c r="AI90" s="8"/>
    </row>
    <row r="91" spans="1:35" x14ac:dyDescent="0.2">
      <c r="K91" s="8"/>
      <c r="M91" t="s">
        <v>266</v>
      </c>
      <c r="N91">
        <f>SUM(N88:N90)</f>
        <v>0</v>
      </c>
      <c r="Q91" s="8"/>
      <c r="V91" s="8"/>
      <c r="Z91" s="8"/>
      <c r="AA91" s="6"/>
      <c r="AB91" s="7"/>
      <c r="AC91" s="7" t="s">
        <v>138</v>
      </c>
      <c r="AD91">
        <f>(AD89*AD88)*E43</f>
        <v>149.4</v>
      </c>
      <c r="AE91" s="7"/>
      <c r="AF91" s="7"/>
      <c r="AG91" s="7"/>
      <c r="AH91" s="7"/>
      <c r="AI91" s="8"/>
    </row>
    <row r="92" spans="1:35" x14ac:dyDescent="0.2">
      <c r="B92" s="3" t="s">
        <v>108</v>
      </c>
      <c r="D92" s="3" t="s">
        <v>109</v>
      </c>
      <c r="E92" s="3">
        <f>D99</f>
        <v>3.0208879914008127</v>
      </c>
      <c r="K92" s="8"/>
      <c r="M92" s="3" t="s">
        <v>267</v>
      </c>
      <c r="N92">
        <f>N91*N31</f>
        <v>0</v>
      </c>
      <c r="Q92" s="8"/>
      <c r="V92" s="8"/>
      <c r="Z92" s="8"/>
      <c r="AA92" s="6"/>
      <c r="AB92" s="7"/>
      <c r="AC92" s="7" t="s">
        <v>139</v>
      </c>
      <c r="AD92">
        <f>G43*N25</f>
        <v>48924.6</v>
      </c>
      <c r="AE92" s="7"/>
      <c r="AF92" s="7"/>
      <c r="AG92" s="7"/>
      <c r="AH92" s="7"/>
      <c r="AI92" s="8"/>
    </row>
    <row r="93" spans="1:35" x14ac:dyDescent="0.2">
      <c r="B93" s="3" t="s">
        <v>311</v>
      </c>
      <c r="K93" s="8"/>
      <c r="M93" s="3" t="s">
        <v>272</v>
      </c>
      <c r="N93">
        <f>N83*N31</f>
        <v>0</v>
      </c>
      <c r="Q93" s="8"/>
      <c r="V93" s="8"/>
      <c r="Z93" s="8"/>
      <c r="AA93" s="6"/>
      <c r="AB93" s="7"/>
      <c r="AC93" s="7" t="s">
        <v>140</v>
      </c>
      <c r="AD93">
        <f>AD92/AD91</f>
        <v>327.47389558232931</v>
      </c>
      <c r="AF93" s="7"/>
      <c r="AG93" s="7"/>
      <c r="AH93" s="7"/>
      <c r="AI93" s="8"/>
    </row>
    <row r="94" spans="1:35" x14ac:dyDescent="0.2">
      <c r="C94" t="s">
        <v>22</v>
      </c>
      <c r="D94">
        <f>N25*G29</f>
        <v>20385.25</v>
      </c>
      <c r="K94" s="8"/>
      <c r="Q94" s="8"/>
      <c r="V94" s="8"/>
      <c r="Z94" s="8"/>
      <c r="AA94" s="6"/>
      <c r="AB94" s="7"/>
      <c r="AC94" s="7" t="s">
        <v>141</v>
      </c>
      <c r="AD94">
        <f>AD93*N31</f>
        <v>186005.17269076305</v>
      </c>
      <c r="AE94" s="7" t="s">
        <v>317</v>
      </c>
      <c r="AF94" s="7"/>
      <c r="AG94" s="7"/>
      <c r="AH94" s="7"/>
      <c r="AI94" s="8"/>
    </row>
    <row r="95" spans="1:35" x14ac:dyDescent="0.2">
      <c r="C95" t="s">
        <v>23</v>
      </c>
      <c r="D95">
        <v>0</v>
      </c>
      <c r="K95" s="8"/>
      <c r="Q95" s="8"/>
      <c r="V95" s="8"/>
      <c r="Z95" s="8"/>
      <c r="AA95" s="6"/>
      <c r="AB95" s="7"/>
      <c r="AC95" s="7" t="s">
        <v>142</v>
      </c>
      <c r="AD95">
        <f>AD90*AD94</f>
        <v>3720.1034538152603</v>
      </c>
      <c r="AE95" s="7"/>
      <c r="AF95" s="7"/>
      <c r="AG95" s="7"/>
      <c r="AH95" s="7"/>
      <c r="AI95" s="8"/>
    </row>
    <row r="96" spans="1:35" x14ac:dyDescent="0.2">
      <c r="C96" t="s">
        <v>24</v>
      </c>
      <c r="D96">
        <v>0.3</v>
      </c>
      <c r="K96" s="8"/>
      <c r="Q96" s="8"/>
      <c r="V96" s="8"/>
      <c r="Z96" s="8"/>
      <c r="AA96" s="6"/>
      <c r="AB96" s="7"/>
      <c r="AC96" s="7" t="s">
        <v>144</v>
      </c>
      <c r="AD96">
        <f>AD95*E42</f>
        <v>4467844.2480321275</v>
      </c>
      <c r="AE96" s="7"/>
      <c r="AF96" s="7"/>
      <c r="AG96" s="7"/>
      <c r="AH96" s="7"/>
      <c r="AI96" s="8"/>
    </row>
    <row r="97" spans="3:35" x14ac:dyDescent="0.2">
      <c r="C97" t="s">
        <v>25</v>
      </c>
      <c r="D97">
        <f>F29*(1-SUM(D95:D96))</f>
        <v>3832919.9999999995</v>
      </c>
      <c r="K97" s="8"/>
      <c r="Q97" s="8"/>
      <c r="V97" s="8"/>
      <c r="Z97" s="8"/>
      <c r="AA97" s="6"/>
      <c r="AB97" s="7"/>
      <c r="AC97" s="7"/>
      <c r="AD97" s="7"/>
      <c r="AE97" s="7"/>
      <c r="AF97" s="7"/>
      <c r="AG97" s="7"/>
      <c r="AH97" s="7"/>
      <c r="AI97" s="8"/>
    </row>
    <row r="98" spans="3:35" x14ac:dyDescent="0.2">
      <c r="C98" t="s">
        <v>26</v>
      </c>
      <c r="D98">
        <f>D94/D97</f>
        <v>5.3184647735929798E-3</v>
      </c>
      <c r="K98" s="8"/>
      <c r="Q98" s="8"/>
      <c r="V98" s="8"/>
      <c r="Z98" s="8"/>
      <c r="AA98" s="6"/>
      <c r="AB98" s="12" t="s">
        <v>121</v>
      </c>
      <c r="AC98" s="7"/>
      <c r="AD98" s="7"/>
      <c r="AE98" s="7"/>
      <c r="AF98" s="7"/>
      <c r="AG98" s="7"/>
      <c r="AH98" s="7"/>
      <c r="AI98" s="8"/>
    </row>
    <row r="99" spans="3:35" x14ac:dyDescent="0.2">
      <c r="C99" t="s">
        <v>27</v>
      </c>
      <c r="D99">
        <f>D98*N38</f>
        <v>3.0208879914008127</v>
      </c>
      <c r="K99" s="8"/>
      <c r="Q99" s="8"/>
      <c r="V99" s="8"/>
      <c r="Z99" s="8"/>
      <c r="AA99" s="6"/>
      <c r="AB99" s="7"/>
      <c r="AC99" s="7" t="s">
        <v>145</v>
      </c>
      <c r="AD99" s="7">
        <v>0.5</v>
      </c>
      <c r="AE99" s="7" t="s">
        <v>113</v>
      </c>
      <c r="AF99" s="7"/>
      <c r="AG99" s="7"/>
      <c r="AH99" s="7"/>
      <c r="AI99" s="8"/>
    </row>
    <row r="100" spans="3:35" x14ac:dyDescent="0.2">
      <c r="K100" s="8"/>
      <c r="Q100" s="8"/>
      <c r="V100" s="8"/>
      <c r="Z100" s="8"/>
      <c r="AA100" s="6"/>
      <c r="AB100" s="7"/>
      <c r="AC100" s="7" t="s">
        <v>146</v>
      </c>
      <c r="AD100" s="7">
        <f>AD99*365</f>
        <v>182.5</v>
      </c>
      <c r="AE100" s="7"/>
      <c r="AF100" s="7"/>
      <c r="AG100" s="7"/>
      <c r="AH100" s="7"/>
      <c r="AI100" s="8"/>
    </row>
    <row r="101" spans="3:35" x14ac:dyDescent="0.2">
      <c r="K101" s="8"/>
      <c r="Q101" s="8"/>
      <c r="V101" s="8"/>
      <c r="Z101" s="8"/>
      <c r="AA101" s="6"/>
      <c r="AB101" s="7"/>
      <c r="AC101" s="7" t="s">
        <v>148</v>
      </c>
      <c r="AD101" s="7">
        <f>V35</f>
        <v>890</v>
      </c>
      <c r="AE101" s="7"/>
      <c r="AF101" s="7"/>
      <c r="AG101" s="7"/>
      <c r="AH101" s="7"/>
      <c r="AI101" s="8"/>
    </row>
    <row r="102" spans="3:35" x14ac:dyDescent="0.2">
      <c r="K102" s="8"/>
      <c r="Q102" s="8"/>
      <c r="V102" s="8"/>
      <c r="Z102" s="8"/>
      <c r="AA102" s="6"/>
      <c r="AB102" s="7"/>
      <c r="AC102" s="7" t="s">
        <v>147</v>
      </c>
      <c r="AD102" s="7">
        <f>AD100*AD101</f>
        <v>162425</v>
      </c>
      <c r="AE102" s="7"/>
      <c r="AF102" s="7"/>
      <c r="AG102" s="7"/>
      <c r="AH102" s="7"/>
      <c r="AI102" s="8"/>
    </row>
    <row r="103" spans="3:35" x14ac:dyDescent="0.2">
      <c r="K103" s="8"/>
      <c r="Q103" s="8"/>
      <c r="V103" s="8"/>
      <c r="Z103" s="8"/>
      <c r="AA103" s="6"/>
      <c r="AB103" s="7"/>
      <c r="AC103" s="7" t="s">
        <v>150</v>
      </c>
      <c r="AD103" s="7">
        <f>AD100*N31</f>
        <v>103660</v>
      </c>
      <c r="AE103" s="7"/>
      <c r="AF103" s="7"/>
      <c r="AG103" s="7"/>
      <c r="AH103" s="7"/>
      <c r="AI103" s="8"/>
    </row>
    <row r="104" spans="3:35" x14ac:dyDescent="0.2">
      <c r="K104" s="8"/>
      <c r="Q104" s="8"/>
      <c r="V104" s="8"/>
      <c r="Z104" s="8"/>
      <c r="AA104" s="6"/>
      <c r="AB104" s="7"/>
      <c r="AC104" s="7" t="s">
        <v>149</v>
      </c>
      <c r="AD104" s="7">
        <f>AD102*N38</f>
        <v>92257400</v>
      </c>
      <c r="AE104" s="7"/>
      <c r="AF104" s="7"/>
      <c r="AG104" s="7"/>
      <c r="AH104" s="7"/>
      <c r="AI104" s="8"/>
    </row>
    <row r="105" spans="3:35" x14ac:dyDescent="0.2">
      <c r="K105" s="8"/>
      <c r="Q105" s="8"/>
      <c r="V105" s="8"/>
      <c r="Z105" s="8"/>
      <c r="AA105" s="6"/>
      <c r="AB105" s="7"/>
      <c r="AC105" s="7"/>
      <c r="AD105" s="7"/>
      <c r="AE105" s="7"/>
      <c r="AF105" s="7"/>
      <c r="AG105" s="7"/>
      <c r="AH105" s="7"/>
      <c r="AI105" s="8"/>
    </row>
    <row r="106" spans="3:35" x14ac:dyDescent="0.2">
      <c r="Z106" s="8"/>
      <c r="AA106" s="23"/>
      <c r="AB106" s="9"/>
      <c r="AC106" s="9"/>
      <c r="AD106" s="9"/>
      <c r="AE106" s="9"/>
      <c r="AF106" s="9"/>
      <c r="AG106" s="9"/>
      <c r="AH106" s="9"/>
      <c r="AI106" s="10"/>
    </row>
  </sheetData>
  <mergeCells count="10">
    <mergeCell ref="F74:F76"/>
    <mergeCell ref="G74:G76"/>
    <mergeCell ref="B34:B39"/>
    <mergeCell ref="B40:B43"/>
    <mergeCell ref="O85:O87"/>
    <mergeCell ref="B25:B33"/>
    <mergeCell ref="O53:O54"/>
    <mergeCell ref="O69:O71"/>
    <mergeCell ref="F67:F68"/>
    <mergeCell ref="G67:G6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BC4D0C-7680-584D-A1C9-26A2457424AA}">
  <dimension ref="A1:AI106"/>
  <sheetViews>
    <sheetView topLeftCell="A28" workbookViewId="0">
      <selection activeCell="H41" sqref="H41"/>
    </sheetView>
  </sheetViews>
  <sheetFormatPr baseColWidth="10" defaultRowHeight="16" x14ac:dyDescent="0.2"/>
  <cols>
    <col min="1" max="1" width="13.33203125" customWidth="1"/>
    <col min="2" max="2" width="14" customWidth="1"/>
    <col min="3" max="3" width="34.6640625" customWidth="1"/>
    <col min="4" max="4" width="19" customWidth="1"/>
    <col min="6" max="6" width="15" customWidth="1"/>
    <col min="13" max="13" width="43.5" customWidth="1"/>
    <col min="18" max="18" width="14.6640625" customWidth="1"/>
    <col min="19" max="19" width="43.83203125" customWidth="1"/>
    <col min="20" max="20" width="17.5" customWidth="1"/>
    <col min="22" max="22" width="14.5" customWidth="1"/>
    <col min="23" max="23" width="23.5" customWidth="1"/>
    <col min="24" max="24" width="33" customWidth="1"/>
    <col min="27" max="27" width="22.83203125" bestFit="1" customWidth="1"/>
    <col min="28" max="28" width="13.33203125" customWidth="1"/>
    <col min="29" max="29" width="50.1640625" bestFit="1" customWidth="1"/>
    <col min="30" max="30" width="12.1640625" bestFit="1" customWidth="1"/>
    <col min="33" max="33" width="45.6640625" bestFit="1" customWidth="1"/>
  </cols>
  <sheetData>
    <row r="1" spans="1:5" ht="21" x14ac:dyDescent="0.25">
      <c r="A1" s="2" t="s">
        <v>0</v>
      </c>
    </row>
    <row r="2" spans="1:5" ht="21" x14ac:dyDescent="0.25">
      <c r="A2" s="2" t="s">
        <v>167</v>
      </c>
      <c r="B2" s="2">
        <v>1800</v>
      </c>
    </row>
    <row r="3" spans="1:5" s="9" customFormat="1" ht="21" x14ac:dyDescent="0.25">
      <c r="A3" s="19" t="s">
        <v>166</v>
      </c>
      <c r="B3" s="19" t="s">
        <v>293</v>
      </c>
    </row>
    <row r="7" spans="1:5" ht="19" x14ac:dyDescent="0.25">
      <c r="B7" s="20" t="s">
        <v>168</v>
      </c>
      <c r="C7" s="4"/>
      <c r="D7" s="4"/>
      <c r="E7" s="5"/>
    </row>
    <row r="8" spans="1:5" x14ac:dyDescent="0.2">
      <c r="B8" s="21" t="s">
        <v>169</v>
      </c>
      <c r="C8" s="12" t="s">
        <v>251</v>
      </c>
      <c r="D8" s="12" t="s">
        <v>104</v>
      </c>
      <c r="E8" s="22" t="s">
        <v>252</v>
      </c>
    </row>
    <row r="9" spans="1:5" x14ac:dyDescent="0.2">
      <c r="B9" s="6">
        <v>1</v>
      </c>
      <c r="C9" s="7" t="s">
        <v>105</v>
      </c>
      <c r="D9" s="15">
        <f>N34*(N38/N31)</f>
        <v>5.0069999999999997</v>
      </c>
      <c r="E9" s="8">
        <v>1</v>
      </c>
    </row>
    <row r="10" spans="1:5" x14ac:dyDescent="0.2">
      <c r="B10" s="6">
        <v>2</v>
      </c>
      <c r="C10" s="7" t="s">
        <v>212</v>
      </c>
      <c r="D10" s="15">
        <f>E48+G69</f>
        <v>84.237884100246362</v>
      </c>
      <c r="E10" s="8">
        <v>2</v>
      </c>
    </row>
    <row r="11" spans="1:5" x14ac:dyDescent="0.2">
      <c r="B11" s="6">
        <v>3</v>
      </c>
      <c r="C11" s="7" t="s">
        <v>213</v>
      </c>
      <c r="D11" s="15">
        <f>E57</f>
        <v>90.081203787719303</v>
      </c>
      <c r="E11" s="8">
        <v>3</v>
      </c>
    </row>
    <row r="12" spans="1:5" x14ac:dyDescent="0.2">
      <c r="B12" s="6">
        <v>4</v>
      </c>
      <c r="C12" s="7" t="s">
        <v>214</v>
      </c>
      <c r="D12" s="15">
        <f>D11/(1/3)-D11</f>
        <v>180.16240757543864</v>
      </c>
      <c r="E12" s="8">
        <v>4</v>
      </c>
    </row>
    <row r="13" spans="1:5" x14ac:dyDescent="0.2">
      <c r="B13" s="6">
        <v>5</v>
      </c>
      <c r="C13" s="7" t="s">
        <v>285</v>
      </c>
      <c r="D13" s="15">
        <f>N75+N92</f>
        <v>69.705082712107256</v>
      </c>
      <c r="E13" s="8">
        <v>4</v>
      </c>
    </row>
    <row r="14" spans="1:5" x14ac:dyDescent="0.2">
      <c r="B14" s="6">
        <v>6</v>
      </c>
      <c r="C14" s="7" t="s">
        <v>215</v>
      </c>
      <c r="D14" s="15">
        <f>E92</f>
        <v>4.5313319871012192</v>
      </c>
      <c r="E14" s="8">
        <v>5</v>
      </c>
    </row>
    <row r="15" spans="1:5" x14ac:dyDescent="0.2">
      <c r="B15" s="6">
        <v>7</v>
      </c>
      <c r="C15" s="7" t="s">
        <v>216</v>
      </c>
      <c r="D15" s="15">
        <f>U47</f>
        <v>63.9</v>
      </c>
      <c r="E15" s="8">
        <v>5</v>
      </c>
    </row>
    <row r="16" spans="1:5" x14ac:dyDescent="0.2">
      <c r="B16" s="6">
        <v>8</v>
      </c>
      <c r="C16" s="7" t="s">
        <v>238</v>
      </c>
      <c r="D16" s="15">
        <f>N58</f>
        <v>45.506765069857003</v>
      </c>
      <c r="E16" s="8">
        <v>6</v>
      </c>
    </row>
    <row r="17" spans="1:35" x14ac:dyDescent="0.2">
      <c r="B17" s="6">
        <v>9</v>
      </c>
      <c r="C17" s="7" t="s">
        <v>106</v>
      </c>
      <c r="D17" s="15">
        <f>Y52</f>
        <v>1042.4968822799999</v>
      </c>
      <c r="E17" s="8">
        <v>6</v>
      </c>
    </row>
    <row r="18" spans="1:35" x14ac:dyDescent="0.2">
      <c r="B18" s="6">
        <v>10</v>
      </c>
      <c r="C18" s="7" t="s">
        <v>211</v>
      </c>
      <c r="D18" s="15">
        <f>SUM(D9:D15)+D16</f>
        <v>543.13167523246977</v>
      </c>
      <c r="E18" s="8" t="s">
        <v>16</v>
      </c>
    </row>
    <row r="19" spans="1:35" x14ac:dyDescent="0.2">
      <c r="B19" s="23">
        <v>11</v>
      </c>
      <c r="C19" s="46" t="s">
        <v>253</v>
      </c>
      <c r="D19" s="41">
        <f>SUM(D9:D17)</f>
        <v>1585.6285575124698</v>
      </c>
      <c r="E19" s="10" t="s">
        <v>16</v>
      </c>
    </row>
    <row r="21" spans="1:35" s="4" customFormat="1" x14ac:dyDescent="0.2">
      <c r="A21" s="26"/>
      <c r="K21" s="5"/>
      <c r="Q21" s="5"/>
      <c r="R21" s="26"/>
      <c r="Z21" s="5"/>
      <c r="AA21" s="26"/>
      <c r="AI21" s="5"/>
    </row>
    <row r="22" spans="1:35" ht="19" x14ac:dyDescent="0.25">
      <c r="A22" s="27" t="s">
        <v>170</v>
      </c>
      <c r="C22" s="7"/>
      <c r="D22" s="7"/>
      <c r="E22" s="7"/>
      <c r="F22" s="7"/>
      <c r="G22" s="7"/>
      <c r="H22" s="7"/>
      <c r="I22" s="7"/>
      <c r="J22" s="7"/>
      <c r="K22" s="8"/>
      <c r="L22" s="7"/>
      <c r="M22" s="7"/>
      <c r="N22" s="7"/>
      <c r="O22" s="7"/>
      <c r="P22" s="7"/>
      <c r="Q22" s="8"/>
      <c r="R22" s="6"/>
      <c r="S22" s="7"/>
      <c r="T22" s="7"/>
      <c r="U22" s="7"/>
      <c r="V22" s="7"/>
      <c r="W22" s="7"/>
      <c r="X22" s="7"/>
      <c r="Y22" s="7"/>
      <c r="Z22" s="8"/>
      <c r="AA22" s="6"/>
      <c r="AB22" s="7"/>
      <c r="AC22" s="7"/>
      <c r="AD22" s="7"/>
      <c r="AE22" s="7"/>
      <c r="AF22" s="7"/>
      <c r="AG22" s="7"/>
      <c r="AH22" s="7"/>
      <c r="AI22" s="8"/>
    </row>
    <row r="23" spans="1:35" ht="19" x14ac:dyDescent="0.25">
      <c r="A23" s="24" t="s">
        <v>28</v>
      </c>
      <c r="C23" s="7"/>
      <c r="D23" s="7"/>
      <c r="E23" s="7"/>
      <c r="F23" s="7"/>
      <c r="G23" s="7"/>
      <c r="H23" s="7"/>
      <c r="I23" s="7"/>
      <c r="J23" s="7"/>
      <c r="K23" s="8"/>
      <c r="L23" s="24" t="s">
        <v>31</v>
      </c>
      <c r="N23" s="7"/>
      <c r="O23" s="7"/>
      <c r="P23" s="7"/>
      <c r="Q23" s="8"/>
      <c r="R23" s="31" t="s">
        <v>45</v>
      </c>
      <c r="S23" s="7"/>
      <c r="T23" s="7"/>
      <c r="U23" s="7"/>
      <c r="V23" s="7"/>
      <c r="W23" s="7"/>
      <c r="X23" s="7"/>
      <c r="Y23" s="7"/>
      <c r="Z23" s="8"/>
      <c r="AA23" s="31" t="s">
        <v>152</v>
      </c>
      <c r="AB23" s="7"/>
      <c r="AC23" s="7"/>
      <c r="AD23" s="7"/>
      <c r="AE23" s="7"/>
      <c r="AF23" s="7"/>
      <c r="AG23" s="7"/>
      <c r="AH23" s="7"/>
      <c r="AI23" s="8"/>
    </row>
    <row r="24" spans="1:35" ht="34" x14ac:dyDescent="0.2">
      <c r="A24" s="6"/>
      <c r="B24" s="51"/>
      <c r="C24" s="51" t="s">
        <v>1</v>
      </c>
      <c r="D24" s="51" t="s">
        <v>2</v>
      </c>
      <c r="E24" s="47" t="s">
        <v>3</v>
      </c>
      <c r="F24" s="47" t="s">
        <v>4</v>
      </c>
      <c r="G24" s="48" t="s">
        <v>44</v>
      </c>
      <c r="H24" t="s">
        <v>18</v>
      </c>
      <c r="I24" s="7"/>
      <c r="J24" s="7"/>
      <c r="K24" s="8"/>
      <c r="L24" s="7"/>
      <c r="M24" s="7" t="s">
        <v>29</v>
      </c>
      <c r="N24" s="7">
        <v>2234</v>
      </c>
      <c r="O24" s="7" t="s">
        <v>172</v>
      </c>
      <c r="P24" s="7"/>
      <c r="Q24" s="8"/>
      <c r="R24" s="6"/>
      <c r="S24" s="33" t="s">
        <v>47</v>
      </c>
      <c r="T24" s="28">
        <v>45</v>
      </c>
      <c r="U24" s="7"/>
      <c r="V24" s="7"/>
      <c r="W24" s="14" t="s">
        <v>52</v>
      </c>
      <c r="X24" s="28">
        <v>7.3599999999999999E-2</v>
      </c>
      <c r="Y24" s="7" t="s">
        <v>274</v>
      </c>
      <c r="Z24" s="8"/>
      <c r="AA24" s="6"/>
      <c r="AB24" s="7"/>
      <c r="AC24" s="12" t="s">
        <v>153</v>
      </c>
      <c r="AD24" s="12" t="s">
        <v>154</v>
      </c>
      <c r="AE24" s="7"/>
      <c r="AF24" s="7"/>
      <c r="AG24" s="7" t="s">
        <v>161</v>
      </c>
      <c r="AH24" s="7">
        <f>N59</f>
        <v>293.42816233955477</v>
      </c>
      <c r="AI24" s="8"/>
    </row>
    <row r="25" spans="1:35" ht="34" x14ac:dyDescent="0.2">
      <c r="A25" s="6"/>
      <c r="B25" s="61" t="s">
        <v>17</v>
      </c>
      <c r="C25" t="s">
        <v>5</v>
      </c>
      <c r="D25" s="51">
        <v>1650</v>
      </c>
      <c r="E25" s="54">
        <v>3540</v>
      </c>
      <c r="F25" s="49">
        <f>D25*E25</f>
        <v>5841000</v>
      </c>
      <c r="G25" s="51">
        <v>0.32</v>
      </c>
      <c r="I25" s="7"/>
      <c r="L25" s="7"/>
      <c r="M25" s="7" t="s">
        <v>30</v>
      </c>
      <c r="N25" s="7">
        <f>N24*365</f>
        <v>815410</v>
      </c>
      <c r="O25" s="7"/>
      <c r="P25" s="7"/>
      <c r="Q25" s="8"/>
      <c r="R25" s="6"/>
      <c r="S25" s="33" t="s">
        <v>46</v>
      </c>
      <c r="T25" s="28">
        <v>436</v>
      </c>
      <c r="U25" s="32" t="s">
        <v>218</v>
      </c>
      <c r="V25" s="7"/>
      <c r="W25" s="14" t="s">
        <v>53</v>
      </c>
      <c r="X25" s="28">
        <v>0.222</v>
      </c>
      <c r="Y25" s="32" t="s">
        <v>275</v>
      </c>
      <c r="Z25" s="8"/>
      <c r="AA25" s="6"/>
      <c r="AB25" s="12" t="s">
        <v>151</v>
      </c>
      <c r="AC25" s="36">
        <f>AD56/1000</f>
        <v>445981.2830266534</v>
      </c>
      <c r="AD25" s="36">
        <f>AC25*$AB$39</f>
        <v>214071015.85279363</v>
      </c>
      <c r="AE25" s="7"/>
      <c r="AF25" s="7"/>
      <c r="AG25" s="7" t="s">
        <v>162</v>
      </c>
      <c r="AH25" s="7">
        <f>N52/N51</f>
        <v>579475.04789838311</v>
      </c>
      <c r="AI25" s="8"/>
    </row>
    <row r="26" spans="1:35" ht="34" x14ac:dyDescent="0.2">
      <c r="A26" s="6"/>
      <c r="B26" s="61"/>
      <c r="C26" t="s">
        <v>315</v>
      </c>
      <c r="D26" s="51">
        <v>6000</v>
      </c>
      <c r="E26" s="54">
        <v>1320</v>
      </c>
      <c r="F26" s="49">
        <f t="shared" ref="F26:F32" si="0">D26*E26</f>
        <v>7920000</v>
      </c>
      <c r="G26" s="51">
        <v>0.21</v>
      </c>
      <c r="I26" s="7"/>
      <c r="J26" s="7"/>
      <c r="K26" s="8"/>
      <c r="L26" s="7"/>
      <c r="M26" s="7"/>
      <c r="N26" s="7"/>
      <c r="O26" s="7"/>
      <c r="P26" s="7"/>
      <c r="Q26" s="8"/>
      <c r="R26" s="6"/>
      <c r="S26" s="33" t="s">
        <v>269</v>
      </c>
      <c r="T26" s="28">
        <v>35</v>
      </c>
      <c r="U26" s="7"/>
      <c r="V26" s="7"/>
      <c r="W26" s="14" t="s">
        <v>273</v>
      </c>
      <c r="X26" s="28">
        <v>0.113</v>
      </c>
      <c r="Y26" s="7" t="s">
        <v>274</v>
      </c>
      <c r="Z26" s="8"/>
      <c r="AA26" s="6"/>
      <c r="AB26" s="12" t="s">
        <v>155</v>
      </c>
      <c r="AC26" s="36">
        <f>AD65/1000</f>
        <v>199643.26774736843</v>
      </c>
      <c r="AD26" s="36">
        <f>AC26*$AB$39</f>
        <v>95828768.518736839</v>
      </c>
      <c r="AE26" s="7"/>
      <c r="AF26" s="7"/>
      <c r="AG26" s="7" t="s">
        <v>163</v>
      </c>
      <c r="AH26" s="36">
        <f>AH25*AH24</f>
        <v>170034298.42644805</v>
      </c>
      <c r="AI26" s="8"/>
    </row>
    <row r="27" spans="1:35" ht="16" customHeight="1" x14ac:dyDescent="0.2">
      <c r="A27" s="6"/>
      <c r="B27" s="61"/>
      <c r="C27" t="s">
        <v>120</v>
      </c>
      <c r="D27" s="51">
        <v>2000</v>
      </c>
      <c r="E27" s="54">
        <v>1110</v>
      </c>
      <c r="F27" s="49">
        <f t="shared" si="0"/>
        <v>2220000</v>
      </c>
      <c r="G27" s="51">
        <v>2.1999999999999999E-2</v>
      </c>
      <c r="I27" s="7"/>
      <c r="J27" s="7"/>
      <c r="K27" s="8"/>
      <c r="L27" s="9"/>
      <c r="M27" s="9"/>
      <c r="N27" s="9"/>
      <c r="O27" s="9"/>
      <c r="P27" s="9"/>
      <c r="Q27" s="10"/>
      <c r="R27" s="6"/>
      <c r="S27" s="7"/>
      <c r="T27" s="7"/>
      <c r="U27" s="7"/>
      <c r="V27" s="7"/>
      <c r="W27" s="7"/>
      <c r="X27" s="7"/>
      <c r="Y27" s="7"/>
      <c r="Z27" s="8"/>
      <c r="AA27" s="6"/>
      <c r="AB27" s="12" t="s">
        <v>156</v>
      </c>
      <c r="AC27" s="36">
        <f>AD74/1000</f>
        <v>42244.54971416216</v>
      </c>
      <c r="AD27" s="36">
        <f>AC27*AB40</f>
        <v>10180936.48111308</v>
      </c>
      <c r="AE27" s="7"/>
      <c r="AF27" s="7"/>
      <c r="AG27" s="7"/>
      <c r="AH27" s="7"/>
      <c r="AI27" s="8"/>
    </row>
    <row r="28" spans="1:35" x14ac:dyDescent="0.2">
      <c r="A28" s="6"/>
      <c r="B28" s="61"/>
      <c r="C28" t="s">
        <v>276</v>
      </c>
      <c r="D28" s="51">
        <v>5000</v>
      </c>
      <c r="E28" s="54">
        <v>950</v>
      </c>
      <c r="F28" s="49">
        <f t="shared" si="0"/>
        <v>4750000</v>
      </c>
      <c r="G28" s="51">
        <v>0.21</v>
      </c>
      <c r="I28" s="7"/>
      <c r="J28" s="7"/>
      <c r="K28" s="8"/>
      <c r="L28" s="7"/>
      <c r="M28" s="7"/>
      <c r="N28" s="7"/>
      <c r="O28" s="7"/>
      <c r="P28" s="7"/>
      <c r="Q28" s="8"/>
      <c r="R28" s="6"/>
      <c r="S28" s="7"/>
      <c r="T28" s="7"/>
      <c r="Y28" s="7"/>
      <c r="Z28" s="8"/>
      <c r="AA28" s="6"/>
      <c r="AB28" s="12" t="s">
        <v>157</v>
      </c>
      <c r="AC28" s="36">
        <f>AD85</f>
        <v>19268.899641055843</v>
      </c>
      <c r="AD28" s="36">
        <f>AD86</f>
        <v>17149320.680539701</v>
      </c>
      <c r="AE28" s="7"/>
      <c r="AF28" s="7"/>
      <c r="AG28" s="7"/>
      <c r="AH28" s="7"/>
      <c r="AI28" s="8"/>
    </row>
    <row r="29" spans="1:35" ht="19" x14ac:dyDescent="0.25">
      <c r="A29" s="6"/>
      <c r="B29" s="61"/>
      <c r="C29" t="s">
        <v>311</v>
      </c>
      <c r="D29" s="51">
        <v>5070</v>
      </c>
      <c r="E29" s="54">
        <v>1080</v>
      </c>
      <c r="F29" s="49">
        <f t="shared" si="0"/>
        <v>5475600</v>
      </c>
      <c r="G29" s="51">
        <v>2.5000000000000001E-2</v>
      </c>
      <c r="I29" s="7"/>
      <c r="J29" s="7"/>
      <c r="K29" s="8"/>
      <c r="L29" s="24" t="s">
        <v>32</v>
      </c>
      <c r="N29" s="7"/>
      <c r="O29" s="7"/>
      <c r="P29" s="7"/>
      <c r="Q29" s="8"/>
      <c r="R29" s="6"/>
      <c r="S29" s="7"/>
      <c r="T29" s="7"/>
      <c r="U29" s="28" t="s">
        <v>56</v>
      </c>
      <c r="V29" s="28" t="s">
        <v>57</v>
      </c>
      <c r="W29" s="28" t="s">
        <v>58</v>
      </c>
      <c r="X29" s="7"/>
      <c r="Y29" s="7"/>
      <c r="Z29" s="8"/>
      <c r="AA29" s="6"/>
      <c r="AB29" s="12" t="s">
        <v>158</v>
      </c>
      <c r="AC29" s="36">
        <f>AD95</f>
        <v>5580.1551807228907</v>
      </c>
      <c r="AD29" s="36">
        <f t="shared" ref="AD29" si="1">AC29*$AB$39</f>
        <v>2678474.4867469873</v>
      </c>
      <c r="AE29" s="7"/>
      <c r="AF29" s="7"/>
      <c r="AG29" s="7" t="s">
        <v>164</v>
      </c>
      <c r="AH29" s="7" t="str">
        <f>IF(AD31&gt;AH26,"YES","NO")</f>
        <v>YES</v>
      </c>
      <c r="AI29" s="8"/>
    </row>
    <row r="30" spans="1:35" x14ac:dyDescent="0.2">
      <c r="A30" s="6"/>
      <c r="B30" s="61"/>
      <c r="C30" t="s">
        <v>7</v>
      </c>
      <c r="D30" s="49" t="s">
        <v>16</v>
      </c>
      <c r="E30" s="49" t="s">
        <v>16</v>
      </c>
      <c r="F30" s="49" t="s">
        <v>16</v>
      </c>
      <c r="G30" s="51">
        <v>0</v>
      </c>
      <c r="I30" s="7"/>
      <c r="J30" s="7"/>
      <c r="K30" s="8"/>
      <c r="L30" s="7"/>
      <c r="M30" s="12" t="s">
        <v>34</v>
      </c>
      <c r="N30" s="12" t="s">
        <v>35</v>
      </c>
      <c r="O30" s="12" t="s">
        <v>36</v>
      </c>
      <c r="P30" s="7"/>
      <c r="Q30" s="8"/>
      <c r="R30" s="6"/>
      <c r="T30" s="12"/>
      <c r="U30" s="28" t="s">
        <v>59</v>
      </c>
      <c r="V30" s="28" t="s">
        <v>60</v>
      </c>
      <c r="W30" s="28" t="s">
        <v>61</v>
      </c>
      <c r="X30" s="7" t="s">
        <v>177</v>
      </c>
      <c r="Y30" s="7"/>
      <c r="Z30" s="8"/>
      <c r="AA30" s="6"/>
      <c r="AB30" s="12" t="s">
        <v>159</v>
      </c>
      <c r="AC30" s="36">
        <f>AD103</f>
        <v>155490</v>
      </c>
      <c r="AD30" s="36">
        <f>AD104</f>
        <v>138386100</v>
      </c>
      <c r="AE30" s="7"/>
      <c r="AF30" s="7"/>
      <c r="AG30" s="7" t="s">
        <v>165</v>
      </c>
      <c r="AH30" s="15">
        <f>AD31/AH26</f>
        <v>2.8129302172927586</v>
      </c>
      <c r="AI30" s="8"/>
    </row>
    <row r="31" spans="1:35" x14ac:dyDescent="0.2">
      <c r="A31" s="6"/>
      <c r="B31" s="61"/>
      <c r="C31" t="s">
        <v>8</v>
      </c>
      <c r="D31" s="51" t="s">
        <v>16</v>
      </c>
      <c r="E31" s="49" t="s">
        <v>16</v>
      </c>
      <c r="F31" s="49" t="s">
        <v>16</v>
      </c>
      <c r="G31" s="51">
        <v>0</v>
      </c>
      <c r="I31" s="7"/>
      <c r="J31" s="7"/>
      <c r="K31" s="8"/>
      <c r="L31" s="7"/>
      <c r="M31" s="12" t="s">
        <v>33</v>
      </c>
      <c r="N31" s="12">
        <f>N32*N33</f>
        <v>852</v>
      </c>
      <c r="O31" s="7"/>
      <c r="P31" s="7"/>
      <c r="Q31" s="8"/>
      <c r="R31" s="6"/>
      <c r="S31" s="33" t="s">
        <v>179</v>
      </c>
      <c r="T31" s="12" t="s">
        <v>62</v>
      </c>
      <c r="U31" s="7">
        <v>700</v>
      </c>
      <c r="V31" s="7">
        <v>1452</v>
      </c>
      <c r="W31" s="7">
        <f>U31*V31</f>
        <v>1016400</v>
      </c>
      <c r="X31" s="32" t="s">
        <v>178</v>
      </c>
      <c r="Y31" s="7"/>
      <c r="Z31" s="8"/>
      <c r="AA31" s="6"/>
      <c r="AB31" s="12" t="s">
        <v>160</v>
      </c>
      <c r="AC31" s="36">
        <f>SUM(AC25:AC30)</f>
        <v>868208.15530996269</v>
      </c>
      <c r="AD31" s="36">
        <f>SUM(AD25:AD30)</f>
        <v>478294616.01993024</v>
      </c>
      <c r="AE31" s="7"/>
      <c r="AF31" s="7"/>
      <c r="AG31" s="11" t="s">
        <v>235</v>
      </c>
      <c r="AH31" s="15">
        <f>(AD25+AD26+AD27+AD30)/AH26</f>
        <v>2.6963196548898818</v>
      </c>
      <c r="AI31" s="8"/>
    </row>
    <row r="32" spans="1:35" x14ac:dyDescent="0.2">
      <c r="A32" s="6"/>
      <c r="B32" s="61"/>
      <c r="C32" t="s">
        <v>277</v>
      </c>
      <c r="D32" s="51">
        <v>12000</v>
      </c>
      <c r="E32" s="54">
        <v>410</v>
      </c>
      <c r="F32" s="49">
        <f t="shared" si="0"/>
        <v>4920000</v>
      </c>
      <c r="G32" s="51">
        <v>1.4999999999999999E-2</v>
      </c>
      <c r="I32" s="7"/>
      <c r="J32" s="7"/>
      <c r="K32" s="8"/>
      <c r="L32" s="7"/>
      <c r="M32" s="7" t="s">
        <v>37</v>
      </c>
      <c r="N32" s="7">
        <v>284</v>
      </c>
      <c r="O32" s="7" t="s">
        <v>283</v>
      </c>
      <c r="P32" s="7"/>
      <c r="Q32" s="8"/>
      <c r="R32" s="6"/>
      <c r="S32" s="7"/>
      <c r="T32" s="12" t="s">
        <v>63</v>
      </c>
      <c r="U32" s="7">
        <v>700</v>
      </c>
      <c r="V32" s="7">
        <v>2151</v>
      </c>
      <c r="W32" s="7">
        <f>U32*V32</f>
        <v>1505700</v>
      </c>
      <c r="X32" s="32" t="s">
        <v>178</v>
      </c>
      <c r="Y32" s="7"/>
      <c r="Z32" s="8"/>
      <c r="AA32" s="6"/>
      <c r="AB32" s="7"/>
      <c r="AC32" s="7"/>
      <c r="AD32" s="7"/>
      <c r="AE32" s="7"/>
      <c r="AF32" s="7"/>
      <c r="AG32" s="11" t="s">
        <v>236</v>
      </c>
      <c r="AH32" s="15">
        <f>(SUM(AD25:AD26)+AD30)/AH26</f>
        <v>2.636443873501475</v>
      </c>
      <c r="AI32" s="8"/>
    </row>
    <row r="33" spans="1:35" x14ac:dyDescent="0.2">
      <c r="A33" s="6"/>
      <c r="B33" s="61"/>
      <c r="C33" t="s">
        <v>278</v>
      </c>
      <c r="D33" s="49" t="s">
        <v>16</v>
      </c>
      <c r="E33" s="49" t="s">
        <v>16</v>
      </c>
      <c r="F33" s="49" t="s">
        <v>16</v>
      </c>
      <c r="G33" s="51">
        <v>3.5000000000000003E-2</v>
      </c>
      <c r="I33" s="7"/>
      <c r="J33" s="7"/>
      <c r="K33" s="8"/>
      <c r="L33" s="7"/>
      <c r="M33" s="7" t="s">
        <v>38</v>
      </c>
      <c r="N33" s="7">
        <v>3</v>
      </c>
      <c r="O33" s="7"/>
      <c r="P33" s="7"/>
      <c r="Q33" s="8"/>
      <c r="R33" s="6"/>
      <c r="S33" s="7"/>
      <c r="T33" s="12" t="s">
        <v>64</v>
      </c>
      <c r="U33" s="7"/>
      <c r="V33" s="7"/>
      <c r="W33" s="7">
        <v>373646.2</v>
      </c>
      <c r="X33" s="32" t="s">
        <v>178</v>
      </c>
      <c r="Y33" s="7"/>
      <c r="Z33" s="8"/>
      <c r="AA33" s="6"/>
      <c r="AB33" s="7"/>
      <c r="AC33" s="7"/>
      <c r="AD33" s="7"/>
      <c r="AE33" s="7"/>
      <c r="AF33" s="7"/>
      <c r="AG33" s="11" t="s">
        <v>237</v>
      </c>
      <c r="AH33" s="15">
        <f>(AD26+AD30)/AH26</f>
        <v>1.3774566113204005</v>
      </c>
      <c r="AI33" s="8"/>
    </row>
    <row r="34" spans="1:35" ht="16" customHeight="1" x14ac:dyDescent="0.2">
      <c r="A34" s="6"/>
      <c r="B34" s="63" t="s">
        <v>20</v>
      </c>
      <c r="C34" t="s">
        <v>10</v>
      </c>
      <c r="D34" s="51" t="s">
        <v>16</v>
      </c>
      <c r="E34" s="54">
        <v>2370</v>
      </c>
      <c r="F34" s="51" t="s">
        <v>16</v>
      </c>
      <c r="G34" s="51">
        <v>0.01</v>
      </c>
      <c r="H34" t="s">
        <v>19</v>
      </c>
      <c r="I34" s="7"/>
      <c r="J34" s="7"/>
      <c r="K34" s="8"/>
      <c r="L34" s="7"/>
      <c r="M34" s="12" t="s">
        <v>40</v>
      </c>
      <c r="N34" s="56">
        <f>3.39+1.617</f>
        <v>5.0069999999999997</v>
      </c>
      <c r="O34" s="7" t="s">
        <v>284</v>
      </c>
      <c r="P34" s="7"/>
      <c r="Q34" s="8"/>
      <c r="R34" s="6"/>
      <c r="S34" s="7"/>
      <c r="T34" s="12" t="s">
        <v>65</v>
      </c>
      <c r="U34" s="7">
        <f>N31*3</f>
        <v>2556</v>
      </c>
      <c r="V34" s="7">
        <v>1122</v>
      </c>
      <c r="W34" s="7">
        <f>U34*V34</f>
        <v>2867832</v>
      </c>
      <c r="X34" s="32" t="s">
        <v>178</v>
      </c>
      <c r="Y34" s="7"/>
      <c r="Z34" s="8"/>
      <c r="AA34" s="6"/>
      <c r="AB34" s="7"/>
      <c r="AC34" s="7"/>
      <c r="AD34" s="7"/>
      <c r="AE34" s="7"/>
      <c r="AF34" s="7"/>
      <c r="AG34" s="7"/>
      <c r="AH34" s="7"/>
      <c r="AI34" s="8"/>
    </row>
    <row r="35" spans="1:35" ht="16" customHeight="1" x14ac:dyDescent="0.2">
      <c r="A35" s="6"/>
      <c r="B35" s="63"/>
      <c r="C35" t="s">
        <v>11</v>
      </c>
      <c r="D35" s="51" t="s">
        <v>16</v>
      </c>
      <c r="E35" s="54">
        <v>1730</v>
      </c>
      <c r="F35" s="51" t="s">
        <v>16</v>
      </c>
      <c r="G35" s="51">
        <v>0.01</v>
      </c>
      <c r="H35" t="s">
        <v>19</v>
      </c>
      <c r="I35" s="7"/>
      <c r="J35" s="7"/>
      <c r="K35" s="8"/>
      <c r="L35" s="7"/>
      <c r="M35" s="7" t="s">
        <v>39</v>
      </c>
      <c r="N35" s="7">
        <f>N34/N31</f>
        <v>5.8767605633802816E-3</v>
      </c>
      <c r="O35" s="7"/>
      <c r="P35" s="7"/>
      <c r="Q35" s="8"/>
      <c r="R35" s="6"/>
      <c r="S35" s="7"/>
      <c r="T35" s="12" t="s">
        <v>121</v>
      </c>
      <c r="U35" s="7" t="s">
        <v>122</v>
      </c>
      <c r="V35" s="7">
        <v>890</v>
      </c>
      <c r="W35" s="7" t="s">
        <v>122</v>
      </c>
      <c r="X35" s="43" t="s">
        <v>113</v>
      </c>
      <c r="Y35" s="7"/>
      <c r="Z35" s="8"/>
      <c r="AA35" s="6"/>
      <c r="AB35" s="7"/>
      <c r="AC35" s="7"/>
      <c r="AD35" s="7"/>
      <c r="AE35" s="7"/>
      <c r="AF35" s="7"/>
      <c r="AG35" s="7"/>
      <c r="AH35" s="7"/>
      <c r="AI35" s="8"/>
    </row>
    <row r="36" spans="1:35" x14ac:dyDescent="0.2">
      <c r="A36" s="6"/>
      <c r="B36" s="63"/>
      <c r="C36" t="s">
        <v>12</v>
      </c>
      <c r="D36" s="51" t="s">
        <v>16</v>
      </c>
      <c r="E36" s="54">
        <v>1201</v>
      </c>
      <c r="F36" s="51" t="s">
        <v>16</v>
      </c>
      <c r="G36" s="51">
        <v>5.0000000000000001E-3</v>
      </c>
      <c r="I36" s="7"/>
      <c r="J36" s="7"/>
      <c r="K36" s="8"/>
      <c r="L36" s="7"/>
      <c r="M36" s="7"/>
      <c r="N36" s="7"/>
      <c r="O36" s="7"/>
      <c r="P36" s="7"/>
      <c r="Q36" s="8"/>
      <c r="R36" s="6"/>
      <c r="S36" s="7"/>
      <c r="T36" s="7"/>
      <c r="U36" s="7"/>
      <c r="V36" s="7"/>
      <c r="W36" s="7"/>
      <c r="X36" s="7"/>
      <c r="Y36" s="7"/>
      <c r="Z36" s="8"/>
      <c r="AA36" s="6"/>
      <c r="AB36" s="7"/>
      <c r="AC36" s="7"/>
      <c r="AD36" s="7"/>
      <c r="AE36" s="7"/>
      <c r="AF36" s="7"/>
      <c r="AG36" s="7"/>
      <c r="AH36" s="7"/>
      <c r="AI36" s="8"/>
    </row>
    <row r="37" spans="1:35" x14ac:dyDescent="0.2">
      <c r="A37" s="6"/>
      <c r="B37" s="63"/>
      <c r="C37" t="s">
        <v>13</v>
      </c>
      <c r="D37" s="51" t="s">
        <v>16</v>
      </c>
      <c r="E37" s="54">
        <v>1340</v>
      </c>
      <c r="F37" s="51" t="s">
        <v>16</v>
      </c>
      <c r="G37" s="51">
        <v>1E-3</v>
      </c>
      <c r="H37" t="s">
        <v>242</v>
      </c>
      <c r="I37" s="7"/>
      <c r="J37" s="7"/>
      <c r="K37" s="8"/>
      <c r="L37" s="7"/>
      <c r="M37" s="40" t="s">
        <v>239</v>
      </c>
      <c r="N37" s="12" t="s">
        <v>282</v>
      </c>
      <c r="O37" s="7"/>
      <c r="P37" s="7"/>
      <c r="Q37" s="8"/>
      <c r="R37" s="6"/>
      <c r="S37" s="7"/>
      <c r="T37" s="7"/>
      <c r="U37" s="7"/>
      <c r="V37" s="7"/>
      <c r="W37" s="7"/>
      <c r="X37" s="7"/>
      <c r="Y37" s="7"/>
      <c r="Z37" s="8"/>
      <c r="AB37" s="7"/>
      <c r="AC37" s="34"/>
      <c r="AD37" s="34"/>
      <c r="AF37" s="7"/>
      <c r="AG37" s="7"/>
      <c r="AH37" s="7"/>
      <c r="AI37" s="8"/>
    </row>
    <row r="38" spans="1:35" x14ac:dyDescent="0.2">
      <c r="A38" s="6"/>
      <c r="B38" s="63"/>
      <c r="C38" t="s">
        <v>268</v>
      </c>
      <c r="D38" s="51" t="s">
        <v>16</v>
      </c>
      <c r="E38" s="54">
        <v>1480</v>
      </c>
      <c r="F38" s="51" t="s">
        <v>16</v>
      </c>
      <c r="G38" s="51">
        <v>0</v>
      </c>
      <c r="I38" s="7"/>
      <c r="J38" s="7"/>
      <c r="K38" s="8"/>
      <c r="L38" s="7"/>
      <c r="M38" s="40" t="s">
        <v>240</v>
      </c>
      <c r="N38" s="12">
        <f>N31</f>
        <v>852</v>
      </c>
      <c r="O38" s="7"/>
      <c r="P38" s="7"/>
      <c r="Q38" s="8"/>
      <c r="R38" s="6"/>
      <c r="S38" s="7"/>
      <c r="T38" s="7"/>
      <c r="U38" s="7"/>
      <c r="V38" s="7"/>
      <c r="W38" s="7"/>
      <c r="X38" s="7"/>
      <c r="Y38" s="7"/>
      <c r="Z38" s="8"/>
      <c r="AB38" s="7"/>
      <c r="AC38" s="34"/>
      <c r="AD38" s="34"/>
      <c r="AF38" s="7"/>
      <c r="AG38" s="7"/>
      <c r="AH38" s="7"/>
      <c r="AI38" s="8"/>
    </row>
    <row r="39" spans="1:35" ht="16" customHeight="1" x14ac:dyDescent="0.2">
      <c r="A39" s="6"/>
      <c r="B39" s="63"/>
      <c r="C39" t="s">
        <v>217</v>
      </c>
      <c r="D39" s="51" t="s">
        <v>16</v>
      </c>
      <c r="E39" s="54">
        <v>1600</v>
      </c>
      <c r="F39" s="51" t="s">
        <v>16</v>
      </c>
      <c r="G39" s="51">
        <v>1.4E-2</v>
      </c>
      <c r="I39" s="7"/>
      <c r="J39" s="7"/>
      <c r="K39" s="8"/>
      <c r="L39" s="23"/>
      <c r="M39" s="9"/>
      <c r="N39" s="9"/>
      <c r="O39" s="9"/>
      <c r="P39" s="9"/>
      <c r="Q39" s="10"/>
      <c r="R39" s="6"/>
      <c r="S39" s="7"/>
      <c r="T39" s="7"/>
      <c r="U39" s="7"/>
      <c r="V39" s="7"/>
      <c r="W39" s="7"/>
      <c r="X39" s="7"/>
      <c r="Y39" s="7"/>
      <c r="Z39" s="8"/>
      <c r="AA39" s="21" t="s">
        <v>186</v>
      </c>
      <c r="AB39" s="34">
        <v>480</v>
      </c>
      <c r="AC39" s="35" t="s">
        <v>225</v>
      </c>
      <c r="AD39" s="7"/>
      <c r="AE39" s="7"/>
      <c r="AF39" s="7"/>
      <c r="AG39" s="7"/>
      <c r="AH39" s="7"/>
      <c r="AI39" s="8"/>
    </row>
    <row r="40" spans="1:35" x14ac:dyDescent="0.2">
      <c r="A40" s="6"/>
      <c r="B40" s="63" t="s">
        <v>21</v>
      </c>
      <c r="C40" t="s">
        <v>14</v>
      </c>
      <c r="D40" s="51" t="s">
        <v>16</v>
      </c>
      <c r="E40" s="54">
        <v>2370</v>
      </c>
      <c r="F40" s="51" t="s">
        <v>16</v>
      </c>
      <c r="G40" s="51">
        <v>1.4999999999999999E-2</v>
      </c>
      <c r="I40" s="7"/>
      <c r="J40" s="7"/>
      <c r="K40" s="8"/>
      <c r="L40" s="7"/>
      <c r="M40" s="7"/>
      <c r="N40" s="7"/>
      <c r="O40" s="7"/>
      <c r="P40" s="7"/>
      <c r="Q40" s="8"/>
      <c r="R40" s="26"/>
      <c r="S40" s="4"/>
      <c r="T40" s="4"/>
      <c r="U40" s="4"/>
      <c r="V40" s="5"/>
      <c r="W40" s="4"/>
      <c r="X40" s="4"/>
      <c r="Y40" s="4"/>
      <c r="Z40" s="5"/>
      <c r="AA40" s="21" t="s">
        <v>223</v>
      </c>
      <c r="AB40" s="7">
        <v>241</v>
      </c>
      <c r="AC40" s="7" t="s">
        <v>224</v>
      </c>
      <c r="AD40" s="7"/>
      <c r="AE40" s="7"/>
      <c r="AF40" s="7"/>
      <c r="AG40" s="7"/>
      <c r="AH40" s="7"/>
      <c r="AI40" s="8"/>
    </row>
    <row r="41" spans="1:35" ht="19" x14ac:dyDescent="0.25">
      <c r="A41" s="6"/>
      <c r="B41" s="63"/>
      <c r="C41" t="s">
        <v>15</v>
      </c>
      <c r="D41" s="51" t="s">
        <v>16</v>
      </c>
      <c r="E41" s="54">
        <v>890</v>
      </c>
      <c r="F41" s="51" t="s">
        <v>16</v>
      </c>
      <c r="G41" s="51">
        <v>1.6E-2</v>
      </c>
      <c r="I41" s="7"/>
      <c r="J41" s="7"/>
      <c r="K41" s="8"/>
      <c r="L41" s="24" t="s">
        <v>180</v>
      </c>
      <c r="M41" s="7"/>
      <c r="N41" s="7"/>
      <c r="O41" s="7"/>
      <c r="P41" s="7"/>
      <c r="Q41" s="8"/>
      <c r="R41" s="37" t="s">
        <v>188</v>
      </c>
      <c r="S41" s="7"/>
      <c r="T41" s="7"/>
      <c r="U41" s="7"/>
      <c r="V41" s="8"/>
      <c r="Z41" s="8"/>
      <c r="AA41" s="6"/>
      <c r="AB41" s="7"/>
      <c r="AC41" s="7"/>
      <c r="AD41" s="7"/>
      <c r="AE41" s="7"/>
      <c r="AF41" s="7"/>
      <c r="AG41" s="7"/>
      <c r="AH41" s="7"/>
      <c r="AI41" s="8"/>
    </row>
    <row r="42" spans="1:35" x14ac:dyDescent="0.2">
      <c r="A42" s="6"/>
      <c r="B42" s="63"/>
      <c r="C42" t="s">
        <v>279</v>
      </c>
      <c r="D42" s="51" t="s">
        <v>16</v>
      </c>
      <c r="E42" s="54">
        <v>1201</v>
      </c>
      <c r="F42" s="51" t="s">
        <v>16</v>
      </c>
      <c r="G42" s="51">
        <v>3.2000000000000001E-2</v>
      </c>
      <c r="H42" t="s">
        <v>171</v>
      </c>
      <c r="I42" s="7"/>
      <c r="J42" s="7"/>
      <c r="K42" s="8"/>
      <c r="L42" s="7"/>
      <c r="M42" s="12" t="s">
        <v>86</v>
      </c>
      <c r="N42" s="12">
        <v>12.9</v>
      </c>
      <c r="O42" s="32" t="s">
        <v>181</v>
      </c>
      <c r="P42" s="7"/>
      <c r="Q42" s="8"/>
      <c r="R42" s="52"/>
      <c r="S42" s="52" t="s">
        <v>193</v>
      </c>
      <c r="T42" s="28" t="s">
        <v>194</v>
      </c>
      <c r="U42" s="7"/>
      <c r="V42" s="8"/>
      <c r="Z42" s="8"/>
      <c r="AA42" s="6"/>
      <c r="AB42" s="7"/>
      <c r="AC42" s="7"/>
      <c r="AD42" s="7"/>
      <c r="AE42" s="7"/>
      <c r="AF42" s="7"/>
      <c r="AG42" s="7"/>
      <c r="AH42" s="7"/>
      <c r="AI42" s="8"/>
    </row>
    <row r="43" spans="1:35" x14ac:dyDescent="0.2">
      <c r="A43" s="6"/>
      <c r="B43" s="63"/>
      <c r="C43" t="s">
        <v>280</v>
      </c>
      <c r="D43" s="51" t="s">
        <v>16</v>
      </c>
      <c r="E43" s="54">
        <v>830</v>
      </c>
      <c r="F43" s="51" t="s">
        <v>16</v>
      </c>
      <c r="G43" s="51">
        <v>0.06</v>
      </c>
      <c r="I43" s="7"/>
      <c r="J43" s="7"/>
      <c r="K43" s="8"/>
      <c r="L43" s="7"/>
      <c r="M43" s="12" t="s">
        <v>85</v>
      </c>
      <c r="N43" s="12">
        <v>1.29</v>
      </c>
      <c r="O43" s="7"/>
      <c r="P43" s="7"/>
      <c r="Q43" s="8"/>
      <c r="R43" s="38" t="s">
        <v>189</v>
      </c>
      <c r="S43" s="28" t="s">
        <v>190</v>
      </c>
      <c r="T43" s="28" t="s">
        <v>195</v>
      </c>
      <c r="U43" s="7"/>
      <c r="V43" s="8"/>
      <c r="Z43" s="8"/>
      <c r="AA43" s="6"/>
      <c r="AB43" s="7"/>
      <c r="AC43" s="7"/>
      <c r="AD43" s="7"/>
      <c r="AE43" s="7"/>
      <c r="AF43" s="7"/>
      <c r="AG43" s="7"/>
      <c r="AH43" s="7"/>
      <c r="AI43" s="8"/>
    </row>
    <row r="44" spans="1:35" x14ac:dyDescent="0.2">
      <c r="A44" s="6"/>
      <c r="F44" s="29" t="s">
        <v>208</v>
      </c>
      <c r="G44" s="42">
        <f>SUM(G25:G28)</f>
        <v>0.76200000000000001</v>
      </c>
      <c r="I44" s="7"/>
      <c r="J44" s="7"/>
      <c r="K44" s="8"/>
      <c r="L44" s="7"/>
      <c r="M44" s="12" t="s">
        <v>79</v>
      </c>
      <c r="N44" s="12">
        <v>20</v>
      </c>
      <c r="O44" s="7"/>
      <c r="P44" s="7"/>
      <c r="Q44" s="8"/>
      <c r="R44" s="38" t="s">
        <v>191</v>
      </c>
      <c r="S44" s="28" t="s">
        <v>192</v>
      </c>
      <c r="T44" s="28" t="s">
        <v>196</v>
      </c>
      <c r="U44" s="7"/>
      <c r="V44" s="8"/>
      <c r="Z44" s="8"/>
      <c r="AA44" s="6"/>
      <c r="AB44" s="7"/>
      <c r="AC44" s="7"/>
      <c r="AD44" s="7"/>
      <c r="AE44" s="7"/>
      <c r="AF44" s="7"/>
      <c r="AG44" s="7"/>
      <c r="AH44" s="7"/>
      <c r="AI44" s="8"/>
    </row>
    <row r="45" spans="1:35" x14ac:dyDescent="0.2">
      <c r="A45" s="23"/>
      <c r="B45" s="9"/>
      <c r="C45" s="9"/>
      <c r="D45" s="9"/>
      <c r="E45" s="9"/>
      <c r="F45" s="9"/>
      <c r="G45" s="9"/>
      <c r="H45" s="9"/>
      <c r="I45" s="9"/>
      <c r="J45" s="9"/>
      <c r="K45" s="10"/>
      <c r="L45" s="9"/>
      <c r="M45" s="9"/>
      <c r="N45" s="9"/>
      <c r="O45" s="9"/>
      <c r="P45" s="9"/>
      <c r="Q45" s="10"/>
      <c r="R45" s="23"/>
      <c r="S45" s="9"/>
      <c r="T45" s="9"/>
      <c r="U45" s="9"/>
      <c r="V45" s="10"/>
      <c r="W45" s="9"/>
      <c r="X45" s="9"/>
      <c r="Y45" s="9"/>
      <c r="Z45" s="10"/>
      <c r="AA45" s="23"/>
      <c r="AB45" s="9"/>
      <c r="AC45" s="9"/>
      <c r="AD45" s="9"/>
      <c r="AE45" s="9"/>
      <c r="AF45" s="9"/>
      <c r="AG45" s="9"/>
      <c r="AH45" s="9"/>
      <c r="AI45" s="10"/>
    </row>
    <row r="46" spans="1:35" x14ac:dyDescent="0.2">
      <c r="K46" s="5"/>
      <c r="Q46" s="5"/>
      <c r="V46" s="5"/>
      <c r="Z46" s="5"/>
      <c r="AA46" s="26"/>
      <c r="AB46" s="4"/>
      <c r="AC46" s="4"/>
      <c r="AD46" s="4"/>
      <c r="AE46" s="4"/>
      <c r="AF46" s="4"/>
      <c r="AG46" s="4"/>
      <c r="AH46" s="4"/>
      <c r="AI46" s="5"/>
    </row>
    <row r="47" spans="1:35" ht="19" x14ac:dyDescent="0.25">
      <c r="A47" s="1" t="s">
        <v>173</v>
      </c>
      <c r="K47" s="8"/>
      <c r="L47" s="1" t="s">
        <v>175</v>
      </c>
      <c r="Q47" s="8"/>
      <c r="R47" s="1" t="s">
        <v>182</v>
      </c>
      <c r="T47" s="29" t="s">
        <v>197</v>
      </c>
      <c r="U47" s="3">
        <f>SUM(T58,T70,T82)</f>
        <v>63.9</v>
      </c>
      <c r="V47" s="8"/>
      <c r="W47" s="1" t="s">
        <v>75</v>
      </c>
      <c r="Z47" s="8"/>
      <c r="AA47" s="44" t="s">
        <v>185</v>
      </c>
      <c r="AB47" s="7"/>
      <c r="AC47" s="7"/>
      <c r="AD47" s="7"/>
      <c r="AE47" s="7"/>
      <c r="AF47" s="7"/>
      <c r="AG47" s="7"/>
      <c r="AH47" s="7"/>
      <c r="AI47" s="8"/>
    </row>
    <row r="48" spans="1:35" x14ac:dyDescent="0.2">
      <c r="B48" s="3" t="s">
        <v>5</v>
      </c>
      <c r="D48" s="29" t="s">
        <v>174</v>
      </c>
      <c r="E48" s="3">
        <f>SUM(D54,G50)</f>
        <v>72.76337581195807</v>
      </c>
      <c r="K48" s="8"/>
      <c r="L48" s="29" t="s">
        <v>66</v>
      </c>
      <c r="Q48" s="8"/>
      <c r="R48" s="3" t="s">
        <v>78</v>
      </c>
      <c r="V48" s="8"/>
      <c r="X48" t="s">
        <v>219</v>
      </c>
      <c r="Y48">
        <f>(100000/19422.03)*100</f>
        <v>514.87923764920561</v>
      </c>
      <c r="Z48" s="8" t="s">
        <v>287</v>
      </c>
      <c r="AA48" s="6"/>
      <c r="AB48" s="7"/>
      <c r="AC48" s="7"/>
      <c r="AD48" s="7"/>
      <c r="AE48" s="7"/>
      <c r="AF48" s="7"/>
      <c r="AG48" s="7"/>
      <c r="AH48" s="7"/>
      <c r="AI48" s="8"/>
    </row>
    <row r="49" spans="1:35" x14ac:dyDescent="0.2">
      <c r="C49" t="s">
        <v>22</v>
      </c>
      <c r="D49">
        <f>N25*G25</f>
        <v>260931.20000000001</v>
      </c>
      <c r="F49" t="s">
        <v>206</v>
      </c>
      <c r="G49">
        <v>0.3</v>
      </c>
      <c r="K49" s="8"/>
      <c r="M49" t="s">
        <v>67</v>
      </c>
      <c r="N49">
        <f>N25*G34</f>
        <v>8154.1</v>
      </c>
      <c r="Q49" s="8"/>
      <c r="V49" s="8"/>
      <c r="X49" t="s">
        <v>76</v>
      </c>
      <c r="Y49">
        <f>Y48/100/100</f>
        <v>5.1487923764920562E-2</v>
      </c>
      <c r="Z49" s="8"/>
      <c r="AA49" s="6"/>
      <c r="AB49" s="12" t="s">
        <v>5</v>
      </c>
      <c r="AC49" s="7"/>
      <c r="AD49" s="7"/>
      <c r="AE49" s="7"/>
      <c r="AF49" s="7"/>
      <c r="AG49" s="7"/>
      <c r="AH49" s="7"/>
      <c r="AI49" s="8"/>
    </row>
    <row r="50" spans="1:35" x14ac:dyDescent="0.2">
      <c r="C50" t="s">
        <v>23</v>
      </c>
      <c r="D50">
        <v>0.02</v>
      </c>
      <c r="E50" s="16" t="s">
        <v>41</v>
      </c>
      <c r="F50" t="s">
        <v>207</v>
      </c>
      <c r="G50" s="18">
        <f>G49*D54</f>
        <v>16.791548264298015</v>
      </c>
      <c r="K50" s="8"/>
      <c r="M50" t="s">
        <v>48</v>
      </c>
      <c r="N50">
        <f>N49/E34</f>
        <v>3.4405485232067514</v>
      </c>
      <c r="Q50" s="8"/>
      <c r="S50" t="s">
        <v>204</v>
      </c>
      <c r="T50">
        <v>8</v>
      </c>
      <c r="U50" t="s">
        <v>286</v>
      </c>
      <c r="V50" s="8"/>
      <c r="X50" t="s">
        <v>77</v>
      </c>
      <c r="Y50">
        <f>1/Y49</f>
        <v>19.422029999999999</v>
      </c>
      <c r="Z50" s="8"/>
      <c r="AA50" s="6"/>
      <c r="AB50" s="7"/>
      <c r="AC50" s="7" t="s">
        <v>119</v>
      </c>
      <c r="AD50" s="13">
        <f>650*10000</f>
        <v>6500000</v>
      </c>
      <c r="AE50" s="7"/>
      <c r="AF50" s="7"/>
      <c r="AG50" s="7"/>
      <c r="AH50" s="7"/>
      <c r="AI50" s="8"/>
    </row>
    <row r="51" spans="1:35" x14ac:dyDescent="0.2">
      <c r="C51" t="s">
        <v>24</v>
      </c>
      <c r="D51">
        <v>0.3</v>
      </c>
      <c r="K51" s="8"/>
      <c r="M51" t="s">
        <v>68</v>
      </c>
      <c r="N51">
        <f>N50/X25/T24</f>
        <v>0.34439925157224738</v>
      </c>
      <c r="Q51" s="8"/>
      <c r="S51" t="s">
        <v>205</v>
      </c>
      <c r="T51">
        <f>T50*1000</f>
        <v>8000</v>
      </c>
      <c r="U51" t="s">
        <v>178</v>
      </c>
      <c r="V51" s="8"/>
      <c r="X51" t="s">
        <v>221</v>
      </c>
      <c r="Y51">
        <f>SUM(G40:G42)</f>
        <v>6.3E-2</v>
      </c>
      <c r="Z51" s="8"/>
      <c r="AA51" s="6"/>
      <c r="AB51" s="7"/>
      <c r="AC51" s="7" t="s">
        <v>111</v>
      </c>
      <c r="AD51">
        <v>0.79600000000000004</v>
      </c>
      <c r="AE51" s="7" t="s">
        <v>178</v>
      </c>
      <c r="AF51" s="7"/>
      <c r="AG51" s="7"/>
      <c r="AH51" s="7"/>
      <c r="AI51" s="8"/>
    </row>
    <row r="52" spans="1:35" x14ac:dyDescent="0.2">
      <c r="C52" t="s">
        <v>25</v>
      </c>
      <c r="D52" s="18">
        <f>F25*(1-(SUM(D50:D51)))</f>
        <v>3971879.9999999995</v>
      </c>
      <c r="K52" s="8"/>
      <c r="M52" t="s">
        <v>69</v>
      </c>
      <c r="N52">
        <f>(70*(N51*T24)^0.75)*365</f>
        <v>199570.77280099536</v>
      </c>
      <c r="Q52" s="8"/>
      <c r="S52" t="s">
        <v>203</v>
      </c>
      <c r="T52">
        <f>T51/N44</f>
        <v>400</v>
      </c>
      <c r="V52" s="8"/>
      <c r="X52" s="3" t="s">
        <v>220</v>
      </c>
      <c r="Y52" s="3">
        <f>Y51*Y50*N38</f>
        <v>1042.4968822799999</v>
      </c>
      <c r="Z52" s="8"/>
      <c r="AA52" s="6"/>
      <c r="AB52" s="7"/>
      <c r="AC52" s="7" t="s">
        <v>112</v>
      </c>
      <c r="AD52">
        <v>0.1</v>
      </c>
      <c r="AE52" s="7" t="s">
        <v>113</v>
      </c>
      <c r="AF52" s="7"/>
      <c r="AG52" s="7"/>
      <c r="AH52" s="7"/>
      <c r="AI52" s="8"/>
    </row>
    <row r="53" spans="1:35" x14ac:dyDescent="0.2">
      <c r="C53" t="s">
        <v>26</v>
      </c>
      <c r="D53" s="18">
        <f>D49/D52</f>
        <v>6.5694633271901476E-2</v>
      </c>
      <c r="K53" s="8"/>
      <c r="M53" t="s">
        <v>124</v>
      </c>
      <c r="N53">
        <v>0.9</v>
      </c>
      <c r="O53" s="60">
        <f>SUM(N53:N54)</f>
        <v>1</v>
      </c>
      <c r="Q53" s="8"/>
      <c r="S53" t="s">
        <v>202</v>
      </c>
      <c r="T53">
        <v>551</v>
      </c>
      <c r="V53" s="8"/>
      <c r="Z53" s="8"/>
      <c r="AA53" s="6"/>
      <c r="AB53" s="7"/>
      <c r="AC53" s="7" t="s">
        <v>198</v>
      </c>
      <c r="AD53">
        <f>(AD50)*AD51*(1-AD52)/0.45</f>
        <v>10348000</v>
      </c>
      <c r="AE53" s="7" t="s">
        <v>199</v>
      </c>
      <c r="AF53" s="7"/>
      <c r="AG53" s="7"/>
      <c r="AH53" s="7"/>
      <c r="AI53" s="8"/>
    </row>
    <row r="54" spans="1:35" x14ac:dyDescent="0.2">
      <c r="C54" t="s">
        <v>27</v>
      </c>
      <c r="D54" s="18">
        <f>D53*N38</f>
        <v>55.971827547660055</v>
      </c>
      <c r="K54" s="8"/>
      <c r="M54" t="s">
        <v>70</v>
      </c>
      <c r="N54">
        <v>0.1</v>
      </c>
      <c r="O54" s="60"/>
      <c r="Q54" s="8"/>
      <c r="S54" t="s">
        <v>80</v>
      </c>
      <c r="T54">
        <f>T53*N44/1000</f>
        <v>11.02</v>
      </c>
      <c r="V54" s="8"/>
      <c r="W54" s="23"/>
      <c r="X54" s="9"/>
      <c r="Y54" s="9"/>
      <c r="Z54" s="10"/>
      <c r="AA54" s="6"/>
      <c r="AB54" s="7"/>
      <c r="AC54" s="7" t="s">
        <v>114</v>
      </c>
      <c r="AD54">
        <v>0.23</v>
      </c>
      <c r="AE54" s="7"/>
      <c r="AF54" s="7"/>
      <c r="AG54" s="7"/>
      <c r="AH54" s="7"/>
      <c r="AI54" s="8"/>
    </row>
    <row r="55" spans="1:35" x14ac:dyDescent="0.2">
      <c r="A55" s="9"/>
      <c r="B55" s="9"/>
      <c r="C55" s="9"/>
      <c r="D55" s="9"/>
      <c r="E55" s="9"/>
      <c r="F55" s="9"/>
      <c r="G55" s="9"/>
      <c r="H55" s="9"/>
      <c r="I55" s="9"/>
      <c r="J55" s="9"/>
      <c r="K55" s="10"/>
      <c r="Q55" s="8"/>
      <c r="S55" t="s">
        <v>81</v>
      </c>
      <c r="T55">
        <f>AVERAGE(T52,T53)</f>
        <v>475.5</v>
      </c>
      <c r="V55" s="8"/>
      <c r="Z55" s="8"/>
      <c r="AA55" s="6"/>
      <c r="AB55" s="7"/>
      <c r="AC55" s="7" t="s">
        <v>200</v>
      </c>
      <c r="AD55" s="17">
        <f>AD53*(1-AD54)*(D53)</f>
        <v>523452.21012518008</v>
      </c>
      <c r="AE55" s="7"/>
      <c r="AF55" s="7"/>
      <c r="AG55" s="7"/>
      <c r="AH55" s="7"/>
      <c r="AI55" s="8"/>
    </row>
    <row r="56" spans="1:35" x14ac:dyDescent="0.2">
      <c r="K56" s="8"/>
      <c r="M56" t="s">
        <v>71</v>
      </c>
      <c r="N56">
        <f>(N54*N52)/W33</f>
        <v>5.341169609138146E-2</v>
      </c>
      <c r="Q56" s="8"/>
      <c r="S56" t="s">
        <v>82</v>
      </c>
      <c r="T56">
        <f>T55*N38</f>
        <v>405126</v>
      </c>
      <c r="V56" s="8"/>
      <c r="Z56" s="8"/>
      <c r="AA56" s="6"/>
      <c r="AB56" s="7"/>
      <c r="AC56" s="7" t="s">
        <v>201</v>
      </c>
      <c r="AD56">
        <f>AD55*N31</f>
        <v>445981283.02665341</v>
      </c>
      <c r="AE56" s="7"/>
      <c r="AF56" s="7"/>
      <c r="AG56" s="7"/>
      <c r="AH56" s="7"/>
      <c r="AI56" s="8"/>
    </row>
    <row r="57" spans="1:35" ht="19" x14ac:dyDescent="0.25">
      <c r="B57" s="3" t="s">
        <v>107</v>
      </c>
      <c r="D57" s="3" t="s">
        <v>43</v>
      </c>
      <c r="E57" s="53">
        <f>D64+(D72-G69)+(D80-G77)+G64+(D88+G83)</f>
        <v>90.081203787719303</v>
      </c>
      <c r="K57" s="8"/>
      <c r="M57" t="s">
        <v>72</v>
      </c>
      <c r="N57">
        <f>SUM(N55:N56)</f>
        <v>5.341169609138146E-2</v>
      </c>
      <c r="Q57" s="8"/>
      <c r="S57" t="s">
        <v>83</v>
      </c>
      <c r="T57">
        <f>T56/N43</f>
        <v>314051.16279069765</v>
      </c>
      <c r="V57" s="8"/>
      <c r="W57" s="27"/>
      <c r="Z57" s="8"/>
      <c r="AA57" s="6"/>
      <c r="AB57" s="7"/>
      <c r="AC57" s="7"/>
      <c r="AD57" s="7"/>
      <c r="AE57" s="7"/>
      <c r="AF57" s="7"/>
      <c r="AG57" s="7"/>
      <c r="AH57" s="7"/>
      <c r="AI57" s="8"/>
    </row>
    <row r="58" spans="1:35" x14ac:dyDescent="0.2">
      <c r="C58" s="3" t="s">
        <v>318</v>
      </c>
      <c r="K58" s="8"/>
      <c r="M58" s="3" t="s">
        <v>73</v>
      </c>
      <c r="N58" s="3">
        <f>N57*N31</f>
        <v>45.506765069857003</v>
      </c>
      <c r="Q58" s="8"/>
      <c r="S58" t="s">
        <v>84</v>
      </c>
      <c r="T58">
        <f>T57/10000</f>
        <v>31.405116279069766</v>
      </c>
      <c r="V58" s="8"/>
      <c r="X58" s="7"/>
      <c r="Y58" s="7"/>
      <c r="Z58" s="8"/>
      <c r="AA58" s="6"/>
      <c r="AB58" s="12" t="s">
        <v>116</v>
      </c>
      <c r="AC58" s="7"/>
      <c r="AD58" s="7"/>
      <c r="AE58" s="7"/>
      <c r="AF58" s="7"/>
      <c r="AG58" s="7"/>
      <c r="AH58" s="7"/>
      <c r="AI58" s="8"/>
    </row>
    <row r="59" spans="1:35" x14ac:dyDescent="0.2">
      <c r="C59" t="s">
        <v>22</v>
      </c>
      <c r="D59">
        <f>G28*N25</f>
        <v>171236.1</v>
      </c>
      <c r="F59" t="s">
        <v>210</v>
      </c>
      <c r="K59" s="8"/>
      <c r="M59" s="3" t="s">
        <v>74</v>
      </c>
      <c r="N59" s="3">
        <f>N51*N31</f>
        <v>293.42816233955477</v>
      </c>
      <c r="Q59" s="8"/>
      <c r="V59" s="8"/>
      <c r="X59" s="39"/>
      <c r="Y59" s="7"/>
      <c r="Z59" s="8"/>
      <c r="AA59" s="6"/>
      <c r="AB59" s="7"/>
      <c r="AC59" s="7" t="s">
        <v>110</v>
      </c>
      <c r="AD59" s="13">
        <f>650*10000</f>
        <v>6500000</v>
      </c>
      <c r="AE59" s="7"/>
      <c r="AF59" s="7"/>
      <c r="AH59" s="7"/>
      <c r="AI59" s="8"/>
    </row>
    <row r="60" spans="1:35" x14ac:dyDescent="0.2">
      <c r="C60" t="s">
        <v>23</v>
      </c>
      <c r="D60">
        <v>0.1</v>
      </c>
      <c r="F60" t="s">
        <v>42</v>
      </c>
      <c r="G60">
        <v>0.1</v>
      </c>
      <c r="K60" s="8"/>
      <c r="M60" s="3" t="s">
        <v>123</v>
      </c>
      <c r="N60" s="3">
        <f>N59*(N52/N51)</f>
        <v>170034298.42644805</v>
      </c>
      <c r="Q60" s="8"/>
      <c r="V60" s="8"/>
      <c r="W60" s="7"/>
      <c r="X60" s="7"/>
      <c r="Y60" s="7"/>
      <c r="Z60" s="8"/>
      <c r="AA60" s="6"/>
      <c r="AB60" s="7"/>
      <c r="AC60" s="7" t="s">
        <v>111</v>
      </c>
      <c r="AD60" s="7">
        <v>0.6</v>
      </c>
      <c r="AE60" t="s">
        <v>231</v>
      </c>
      <c r="AF60" s="7"/>
      <c r="AG60" s="7"/>
      <c r="AH60" s="7"/>
      <c r="AI60" s="8"/>
    </row>
    <row r="61" spans="1:35" x14ac:dyDescent="0.2">
      <c r="C61" t="s">
        <v>24</v>
      </c>
      <c r="D61">
        <v>0.3</v>
      </c>
      <c r="F61" t="s">
        <v>6</v>
      </c>
      <c r="G61">
        <v>0</v>
      </c>
      <c r="K61" s="8"/>
      <c r="Q61" s="8"/>
      <c r="R61" s="3" t="s">
        <v>94</v>
      </c>
      <c r="V61" s="8"/>
      <c r="X61" s="55"/>
      <c r="Y61" s="45"/>
      <c r="Z61" s="8"/>
      <c r="AA61" s="6"/>
      <c r="AB61" s="7"/>
      <c r="AC61" s="7" t="s">
        <v>112</v>
      </c>
      <c r="AD61" s="7">
        <v>0.1</v>
      </c>
      <c r="AF61" s="7"/>
      <c r="AG61" s="7"/>
      <c r="AH61" s="7"/>
      <c r="AI61" s="8"/>
    </row>
    <row r="62" spans="1:35" x14ac:dyDescent="0.2">
      <c r="C62" t="s">
        <v>25</v>
      </c>
      <c r="D62" s="18">
        <f>F28*(1-(D60+D61))</f>
        <v>2850000</v>
      </c>
      <c r="F62" t="s">
        <v>247</v>
      </c>
      <c r="G62">
        <v>0</v>
      </c>
      <c r="K62" s="8"/>
      <c r="Q62" s="8"/>
      <c r="S62" t="s">
        <v>95</v>
      </c>
      <c r="T62">
        <v>30</v>
      </c>
      <c r="U62" s="16" t="s">
        <v>178</v>
      </c>
      <c r="V62" s="8"/>
      <c r="X62" s="40"/>
      <c r="Y62" s="3"/>
      <c r="Z62" s="8"/>
      <c r="AA62" s="6"/>
      <c r="AB62" s="7"/>
      <c r="AC62" s="7" t="s">
        <v>118</v>
      </c>
      <c r="AD62">
        <f>(AD59)*AD60*(1-AD61)/0.45</f>
        <v>7800000</v>
      </c>
      <c r="AF62" s="7"/>
      <c r="AG62" s="7"/>
      <c r="AH62" s="7"/>
      <c r="AI62" s="8"/>
    </row>
    <row r="63" spans="1:35" x14ac:dyDescent="0.2">
      <c r="C63" t="s">
        <v>26</v>
      </c>
      <c r="D63" s="18">
        <f>D59/D62</f>
        <v>6.0082842105263157E-2</v>
      </c>
      <c r="F63" t="s">
        <v>281</v>
      </c>
      <c r="G63">
        <v>0.1</v>
      </c>
      <c r="K63" s="8"/>
      <c r="Q63" s="8"/>
      <c r="S63" t="s">
        <v>96</v>
      </c>
      <c r="T63">
        <v>1.5</v>
      </c>
      <c r="U63" s="45" t="s">
        <v>250</v>
      </c>
      <c r="V63" s="8"/>
      <c r="X63" s="11"/>
      <c r="Z63" s="8"/>
      <c r="AA63" s="6"/>
      <c r="AB63" s="7"/>
      <c r="AC63" s="7" t="s">
        <v>114</v>
      </c>
      <c r="AD63" s="7">
        <v>0.5</v>
      </c>
      <c r="AE63" t="s">
        <v>232</v>
      </c>
      <c r="AF63" s="7"/>
      <c r="AG63" s="7"/>
      <c r="AH63" s="7"/>
      <c r="AI63" s="8"/>
    </row>
    <row r="64" spans="1:35" x14ac:dyDescent="0.2">
      <c r="C64" t="s">
        <v>27</v>
      </c>
      <c r="D64" s="18">
        <f>D63*N38</f>
        <v>51.190581473684212</v>
      </c>
      <c r="F64" t="s">
        <v>207</v>
      </c>
      <c r="G64" s="18">
        <f>G60*D64</f>
        <v>5.1190581473684214</v>
      </c>
      <c r="K64" s="8"/>
      <c r="L64" s="29" t="s">
        <v>176</v>
      </c>
      <c r="Q64" s="8"/>
      <c r="S64" t="s">
        <v>97</v>
      </c>
      <c r="T64">
        <f>T63*T62</f>
        <v>45</v>
      </c>
      <c r="U64" s="16"/>
      <c r="V64" s="8"/>
      <c r="Z64" s="8"/>
      <c r="AA64" s="6"/>
      <c r="AB64" s="7"/>
      <c r="AC64" s="7" t="s">
        <v>115</v>
      </c>
      <c r="AD64" s="17">
        <f>AD62*(1-AD63)*D63</f>
        <v>234323.08421052631</v>
      </c>
      <c r="AE64" s="7"/>
      <c r="AF64" s="7"/>
      <c r="AG64" s="7"/>
      <c r="AH64" s="7"/>
      <c r="AI64" s="8"/>
    </row>
    <row r="65" spans="3:35" x14ac:dyDescent="0.2">
      <c r="K65" s="8"/>
      <c r="L65" s="30"/>
      <c r="M65" t="s">
        <v>51</v>
      </c>
      <c r="N65">
        <f>N25*G37</f>
        <v>815.41</v>
      </c>
      <c r="Q65" s="8"/>
      <c r="S65" t="s">
        <v>98</v>
      </c>
      <c r="T65">
        <v>2</v>
      </c>
      <c r="U65" s="16" t="s">
        <v>178</v>
      </c>
      <c r="V65" s="8"/>
      <c r="Z65" s="8"/>
      <c r="AA65" s="6"/>
      <c r="AB65" s="7"/>
      <c r="AC65" s="7" t="s">
        <v>117</v>
      </c>
      <c r="AD65" s="7">
        <f>AD64*N31</f>
        <v>199643267.74736843</v>
      </c>
      <c r="AE65" s="7"/>
      <c r="AF65" s="7"/>
      <c r="AG65" s="7"/>
      <c r="AH65" s="7"/>
      <c r="AI65" s="8"/>
    </row>
    <row r="66" spans="3:35" x14ac:dyDescent="0.2">
      <c r="C66" s="3" t="s">
        <v>312</v>
      </c>
      <c r="K66" s="8"/>
      <c r="M66" t="s">
        <v>48</v>
      </c>
      <c r="N66">
        <f>N65/E37</f>
        <v>0.60851492537313434</v>
      </c>
      <c r="Q66" s="8"/>
      <c r="S66" t="s">
        <v>89</v>
      </c>
      <c r="T66">
        <v>4</v>
      </c>
      <c r="V66" s="8"/>
      <c r="Z66" s="8"/>
      <c r="AA66" s="6"/>
      <c r="AB66" s="7"/>
      <c r="AC66" s="7"/>
      <c r="AD66" s="7"/>
      <c r="AE66" s="7"/>
      <c r="AF66" s="7"/>
      <c r="AG66" s="7"/>
      <c r="AH66" s="7"/>
      <c r="AI66" s="8"/>
    </row>
    <row r="67" spans="3:35" x14ac:dyDescent="0.2">
      <c r="C67" t="s">
        <v>22</v>
      </c>
      <c r="D67">
        <f>G27*N25</f>
        <v>17939.02</v>
      </c>
      <c r="F67" s="59" t="s">
        <v>245</v>
      </c>
      <c r="G67" s="62">
        <v>1</v>
      </c>
      <c r="K67" s="8"/>
      <c r="M67" t="s">
        <v>54</v>
      </c>
      <c r="N67">
        <f>N66/X24/T25</f>
        <v>1.8962995031821347E-2</v>
      </c>
      <c r="Q67" s="8"/>
      <c r="S67" t="s">
        <v>99</v>
      </c>
      <c r="T67">
        <f>T66*T65*T64</f>
        <v>360</v>
      </c>
      <c r="V67" s="8"/>
      <c r="Z67" s="8"/>
      <c r="AA67" s="6"/>
      <c r="AB67" s="12" t="s">
        <v>120</v>
      </c>
      <c r="AC67" s="7"/>
      <c r="AD67" s="7"/>
      <c r="AE67" s="7"/>
      <c r="AF67" s="7"/>
      <c r="AG67" s="7"/>
      <c r="AH67" s="7"/>
      <c r="AI67" s="8"/>
    </row>
    <row r="68" spans="3:35" x14ac:dyDescent="0.2">
      <c r="C68" t="s">
        <v>23</v>
      </c>
      <c r="D68">
        <v>0.1</v>
      </c>
      <c r="F68" s="59"/>
      <c r="G68" s="62"/>
      <c r="K68" s="8"/>
      <c r="M68" t="s">
        <v>55</v>
      </c>
      <c r="N68">
        <f>(70*(N67*T25)^0.75)*365</f>
        <v>124576.45546570697</v>
      </c>
      <c r="Q68" s="8"/>
      <c r="S68" t="s">
        <v>100</v>
      </c>
      <c r="T68">
        <f>T67*N44/1000</f>
        <v>7.2</v>
      </c>
      <c r="V68" s="8"/>
      <c r="Z68" s="8"/>
      <c r="AA68" s="6"/>
      <c r="AB68" s="7"/>
      <c r="AC68" s="7" t="s">
        <v>110</v>
      </c>
      <c r="AD68" s="13">
        <f>650*10000</f>
        <v>6500000</v>
      </c>
      <c r="AE68" s="7"/>
      <c r="AF68" s="7"/>
      <c r="AG68" s="7" t="s">
        <v>222</v>
      </c>
      <c r="AH68" s="7"/>
      <c r="AI68" s="8"/>
    </row>
    <row r="69" spans="3:35" x14ac:dyDescent="0.2">
      <c r="C69" t="s">
        <v>24</v>
      </c>
      <c r="D69">
        <v>0.3</v>
      </c>
      <c r="F69" s="3" t="s">
        <v>246</v>
      </c>
      <c r="G69" s="3">
        <f>G67*D72</f>
        <v>11.474508288288289</v>
      </c>
      <c r="K69" s="8"/>
      <c r="M69" t="s">
        <v>258</v>
      </c>
      <c r="N69">
        <v>0.6</v>
      </c>
      <c r="O69" s="60">
        <f>SUM(N69:N71)</f>
        <v>1</v>
      </c>
      <c r="P69" t="s">
        <v>241</v>
      </c>
      <c r="Q69" s="8"/>
      <c r="S69" t="s">
        <v>101</v>
      </c>
      <c r="T69">
        <f>T67*N38</f>
        <v>306720</v>
      </c>
      <c r="V69" s="8"/>
      <c r="Z69" s="8"/>
      <c r="AA69" s="6"/>
      <c r="AB69" s="7"/>
      <c r="AC69" s="7" t="s">
        <v>111</v>
      </c>
      <c r="AD69" s="7">
        <v>0.59</v>
      </c>
      <c r="AE69" s="7" t="s">
        <v>226</v>
      </c>
      <c r="AF69" s="7"/>
      <c r="AG69" s="7"/>
      <c r="AH69" s="7"/>
      <c r="AI69" s="8"/>
    </row>
    <row r="70" spans="3:35" x14ac:dyDescent="0.2">
      <c r="C70" t="s">
        <v>25</v>
      </c>
      <c r="D70" s="18">
        <f>F27*(1-SUM(D68:D69))</f>
        <v>1332000</v>
      </c>
      <c r="K70" s="8"/>
      <c r="M70" t="s">
        <v>259</v>
      </c>
      <c r="N70">
        <v>0.1</v>
      </c>
      <c r="O70" s="60"/>
      <c r="Q70" s="8"/>
      <c r="S70" t="s">
        <v>102</v>
      </c>
      <c r="T70">
        <v>0</v>
      </c>
      <c r="U70" t="s">
        <v>209</v>
      </c>
      <c r="V70" s="8"/>
      <c r="Z70" s="8"/>
      <c r="AA70" s="6"/>
      <c r="AB70" s="7"/>
      <c r="AC70" s="7" t="s">
        <v>112</v>
      </c>
      <c r="AD70" s="7">
        <v>0.1</v>
      </c>
      <c r="AE70" s="7"/>
      <c r="AF70" s="7"/>
      <c r="AG70" s="7"/>
      <c r="AH70" s="7"/>
      <c r="AI70" s="8"/>
    </row>
    <row r="71" spans="3:35" x14ac:dyDescent="0.2">
      <c r="C71" t="s">
        <v>26</v>
      </c>
      <c r="D71" s="18">
        <f>D67/D70</f>
        <v>1.3467732732732733E-2</v>
      </c>
      <c r="K71" s="8"/>
      <c r="M71" t="s">
        <v>260</v>
      </c>
      <c r="N71">
        <v>0.3</v>
      </c>
      <c r="O71" s="60"/>
      <c r="Q71" s="8"/>
      <c r="V71" s="8"/>
      <c r="Z71" s="8"/>
      <c r="AA71" s="6"/>
      <c r="AB71" s="7"/>
      <c r="AC71" s="7" t="s">
        <v>118</v>
      </c>
      <c r="AD71">
        <f>(AD68)*AD69*(1-AD70)/0.45</f>
        <v>7670000</v>
      </c>
      <c r="AE71" s="7"/>
      <c r="AF71" s="7"/>
      <c r="AG71" s="7"/>
      <c r="AH71" s="7"/>
      <c r="AI71" s="8"/>
    </row>
    <row r="72" spans="3:35" x14ac:dyDescent="0.2">
      <c r="C72" t="s">
        <v>27</v>
      </c>
      <c r="D72" s="18">
        <f>D71*N38</f>
        <v>11.474508288288289</v>
      </c>
      <c r="K72" s="8"/>
      <c r="M72" t="s">
        <v>49</v>
      </c>
      <c r="N72">
        <f>N69*N68/W31</f>
        <v>7.3539820227690067E-2</v>
      </c>
      <c r="Q72" s="8"/>
      <c r="S72" s="16" t="s">
        <v>183</v>
      </c>
      <c r="V72" s="8"/>
      <c r="Z72" s="8"/>
      <c r="AA72" s="6"/>
      <c r="AB72" s="7"/>
      <c r="AC72" s="7" t="s">
        <v>114</v>
      </c>
      <c r="AD72" s="7">
        <v>0.52</v>
      </c>
      <c r="AE72" s="7" t="s">
        <v>227</v>
      </c>
      <c r="AF72" s="7"/>
      <c r="AG72" s="7"/>
      <c r="AH72" s="7"/>
      <c r="AI72" s="8"/>
    </row>
    <row r="73" spans="3:35" x14ac:dyDescent="0.2">
      <c r="K73" s="8"/>
      <c r="M73" t="s">
        <v>50</v>
      </c>
      <c r="N73">
        <f>N70*N68/W32</f>
        <v>8.2736571339381663E-3</v>
      </c>
      <c r="Q73" s="8"/>
      <c r="V73" s="8"/>
      <c r="Z73" s="8"/>
      <c r="AA73" s="6"/>
      <c r="AB73" s="7"/>
      <c r="AC73" s="7" t="s">
        <v>115</v>
      </c>
      <c r="AD73" s="17">
        <f>AD71*(1-AD72)*D71</f>
        <v>49582.804828828834</v>
      </c>
      <c r="AE73" s="7"/>
      <c r="AF73" s="7"/>
      <c r="AG73" s="7"/>
      <c r="AH73" s="7"/>
      <c r="AI73" s="8"/>
    </row>
    <row r="74" spans="3:35" x14ac:dyDescent="0.2">
      <c r="C74" s="3" t="s">
        <v>9</v>
      </c>
      <c r="F74" s="59" t="s">
        <v>248</v>
      </c>
      <c r="G74" s="60">
        <v>1</v>
      </c>
      <c r="K74" s="8"/>
      <c r="M74" t="s">
        <v>254</v>
      </c>
      <c r="N74">
        <f>SUM(N72:N73)</f>
        <v>8.1813477361628237E-2</v>
      </c>
      <c r="Q74" s="8"/>
      <c r="V74" s="8"/>
      <c r="Z74" s="8"/>
      <c r="AA74" s="6"/>
      <c r="AB74" s="7"/>
      <c r="AC74" s="7" t="s">
        <v>117</v>
      </c>
      <c r="AD74" s="7">
        <f>$N$31*AD73</f>
        <v>42244549.714162163</v>
      </c>
      <c r="AE74" s="7"/>
      <c r="AF74" s="7"/>
      <c r="AG74" s="7"/>
      <c r="AH74" s="7"/>
      <c r="AI74" s="8"/>
    </row>
    <row r="75" spans="3:35" x14ac:dyDescent="0.2">
      <c r="C75" t="s">
        <v>22</v>
      </c>
      <c r="D75">
        <f>G32*N25</f>
        <v>12231.15</v>
      </c>
      <c r="F75" s="59"/>
      <c r="G75" s="60"/>
      <c r="K75" s="8"/>
      <c r="M75" s="3" t="s">
        <v>255</v>
      </c>
      <c r="N75" s="3">
        <f>N74*N31</f>
        <v>69.705082712107256</v>
      </c>
      <c r="Q75" s="8"/>
      <c r="R75" s="3" t="s">
        <v>184</v>
      </c>
      <c r="V75" s="8"/>
      <c r="Z75" s="8"/>
      <c r="AA75" s="6"/>
      <c r="AB75" s="7"/>
      <c r="AC75" s="7"/>
      <c r="AD75" s="7"/>
      <c r="AE75" s="7"/>
      <c r="AF75" s="7"/>
      <c r="AG75" s="7"/>
      <c r="AH75" s="7"/>
      <c r="AI75" s="8"/>
    </row>
    <row r="76" spans="3:35" x14ac:dyDescent="0.2">
      <c r="C76" t="s">
        <v>23</v>
      </c>
      <c r="D76">
        <v>0</v>
      </c>
      <c r="F76" s="59"/>
      <c r="G76" s="60"/>
      <c r="K76" s="8"/>
      <c r="M76" s="3" t="s">
        <v>256</v>
      </c>
      <c r="N76" s="3">
        <f>N67*N31</f>
        <v>16.156471767111789</v>
      </c>
      <c r="Q76" s="8"/>
      <c r="S76" t="s">
        <v>87</v>
      </c>
      <c r="T76">
        <v>1.5</v>
      </c>
      <c r="U76" s="16" t="s">
        <v>178</v>
      </c>
      <c r="V76" s="8"/>
      <c r="Z76" s="8"/>
      <c r="AA76" s="6"/>
      <c r="AB76" s="12" t="s">
        <v>134</v>
      </c>
      <c r="AC76" s="7"/>
      <c r="AD76" s="7"/>
      <c r="AE76" s="7"/>
      <c r="AF76" s="7"/>
      <c r="AG76" s="7"/>
      <c r="AH76" s="7"/>
      <c r="AI76" s="8"/>
    </row>
    <row r="77" spans="3:35" x14ac:dyDescent="0.2">
      <c r="C77" t="s">
        <v>24</v>
      </c>
      <c r="D77">
        <v>0.3</v>
      </c>
      <c r="F77" t="s">
        <v>249</v>
      </c>
      <c r="G77">
        <f>G74*D80</f>
        <v>3.0258245644599304</v>
      </c>
      <c r="K77" s="8"/>
      <c r="Q77" s="8"/>
      <c r="S77" t="s">
        <v>88</v>
      </c>
      <c r="T77">
        <v>82</v>
      </c>
      <c r="U77" s="16" t="s">
        <v>103</v>
      </c>
      <c r="V77" s="8"/>
      <c r="Z77" s="8"/>
      <c r="AA77" s="6"/>
      <c r="AB77" s="7"/>
      <c r="AC77" s="7" t="s">
        <v>125</v>
      </c>
      <c r="AD77">
        <f>((((40+96)/2)/1.28)/1.331)*0.67</f>
        <v>26.742111194590535</v>
      </c>
      <c r="AE77" s="7"/>
      <c r="AF77" s="7" t="s">
        <v>228</v>
      </c>
      <c r="AG77" s="7"/>
      <c r="AH77" s="7"/>
      <c r="AI77" s="8"/>
    </row>
    <row r="78" spans="3:35" x14ac:dyDescent="0.2">
      <c r="C78" t="s">
        <v>25</v>
      </c>
      <c r="D78" s="18">
        <f>F32*(1-SUM(D76:D77))</f>
        <v>3444000</v>
      </c>
      <c r="K78" s="8"/>
      <c r="M78" s="3" t="s">
        <v>243</v>
      </c>
      <c r="Q78" s="8"/>
      <c r="S78" t="s">
        <v>89</v>
      </c>
      <c r="T78">
        <v>4</v>
      </c>
      <c r="U78" s="16"/>
      <c r="V78" s="8"/>
      <c r="Z78" s="8"/>
      <c r="AA78" s="6"/>
      <c r="AB78" s="7"/>
      <c r="AC78" s="7" t="s">
        <v>126</v>
      </c>
      <c r="AD78">
        <f>((40+96)/2)</f>
        <v>68</v>
      </c>
      <c r="AE78" s="7"/>
      <c r="AF78" s="7" t="s">
        <v>229</v>
      </c>
      <c r="AG78" s="7"/>
      <c r="AH78" s="7"/>
      <c r="AI78" s="8"/>
    </row>
    <row r="79" spans="3:35" x14ac:dyDescent="0.2">
      <c r="C79" t="s">
        <v>26</v>
      </c>
      <c r="D79" s="18">
        <f>D75/D78</f>
        <v>3.5514372822299653E-3</v>
      </c>
      <c r="K79" s="8"/>
      <c r="Q79" s="8"/>
      <c r="S79" t="s">
        <v>90</v>
      </c>
      <c r="T79">
        <f>T76*T77*T78</f>
        <v>492</v>
      </c>
      <c r="U79" s="16"/>
      <c r="V79" s="8"/>
      <c r="Z79" s="8"/>
      <c r="AA79" s="6"/>
      <c r="AB79" s="7"/>
      <c r="AC79" s="7" t="s">
        <v>127</v>
      </c>
      <c r="AD79">
        <f>AD78-AD77</f>
        <v>41.257888805409465</v>
      </c>
      <c r="AE79" s="7"/>
      <c r="AF79" s="7" t="s">
        <v>230</v>
      </c>
      <c r="AG79" s="7"/>
      <c r="AH79" s="7"/>
      <c r="AI79" s="8"/>
    </row>
    <row r="80" spans="3:35" x14ac:dyDescent="0.2">
      <c r="C80" t="s">
        <v>27</v>
      </c>
      <c r="D80" s="18">
        <f>D79*N38</f>
        <v>3.0258245644599304</v>
      </c>
      <c r="K80" s="8"/>
      <c r="L80" s="29" t="s">
        <v>257</v>
      </c>
      <c r="Q80" s="8"/>
      <c r="S80" t="s">
        <v>91</v>
      </c>
      <c r="T80">
        <f>T79*N44/1000</f>
        <v>9.84</v>
      </c>
      <c r="U80" s="16"/>
      <c r="V80" s="8"/>
      <c r="Z80" s="8"/>
      <c r="AA80" s="6"/>
      <c r="AB80" s="7"/>
      <c r="AC80" s="7" t="s">
        <v>128</v>
      </c>
      <c r="AD80">
        <f>(AD77)*E41</f>
        <v>23800.478963185575</v>
      </c>
      <c r="AE80" s="7"/>
      <c r="AF80" s="7"/>
      <c r="AG80" s="7"/>
      <c r="AH80" s="7"/>
      <c r="AI80" s="8"/>
    </row>
    <row r="81" spans="1:35" x14ac:dyDescent="0.2">
      <c r="A81" s="7"/>
      <c r="B81" s="7"/>
      <c r="C81" s="7"/>
      <c r="D81" s="7"/>
      <c r="K81" s="8"/>
      <c r="M81" t="s">
        <v>261</v>
      </c>
      <c r="N81">
        <f>N25*G38</f>
        <v>0</v>
      </c>
      <c r="Q81" s="8"/>
      <c r="S81" t="s">
        <v>92</v>
      </c>
      <c r="T81">
        <f>T79*N38</f>
        <v>419184</v>
      </c>
      <c r="U81" s="16"/>
      <c r="V81" s="8"/>
      <c r="Z81" s="8"/>
      <c r="AA81" s="6"/>
      <c r="AB81" s="7"/>
      <c r="AC81" s="7" t="s">
        <v>129</v>
      </c>
      <c r="AD81">
        <f>AD79*E41</f>
        <v>36719.521036814425</v>
      </c>
      <c r="AE81" s="7"/>
      <c r="AF81" s="7"/>
      <c r="AG81" s="7"/>
      <c r="AH81" s="7"/>
      <c r="AI81" s="8"/>
    </row>
    <row r="82" spans="1:35" x14ac:dyDescent="0.2">
      <c r="C82" s="3" t="s">
        <v>313</v>
      </c>
      <c r="K82" s="8"/>
      <c r="M82" t="s">
        <v>48</v>
      </c>
      <c r="N82">
        <f>N81/E38</f>
        <v>0</v>
      </c>
      <c r="Q82" s="8"/>
      <c r="S82" t="s">
        <v>93</v>
      </c>
      <c r="T82">
        <f>T81/N43/10000</f>
        <v>32.494883720930233</v>
      </c>
      <c r="U82" s="16"/>
      <c r="V82" s="8"/>
      <c r="Z82" s="8"/>
      <c r="AA82" s="6"/>
      <c r="AB82" s="7"/>
      <c r="AC82" s="7" t="s">
        <v>130</v>
      </c>
      <c r="AD82">
        <f>N25*G41</f>
        <v>13046.56</v>
      </c>
      <c r="AE82" s="7"/>
      <c r="AF82" s="7"/>
      <c r="AG82" s="7"/>
      <c r="AH82" s="7"/>
      <c r="AI82" s="8"/>
    </row>
    <row r="83" spans="1:35" x14ac:dyDescent="0.2">
      <c r="C83" t="s">
        <v>22</v>
      </c>
      <c r="D83">
        <f>G26*N25</f>
        <v>171236.1</v>
      </c>
      <c r="F83" t="s">
        <v>207</v>
      </c>
      <c r="G83" s="18">
        <f>G63*D88</f>
        <v>3.0701421969696976</v>
      </c>
      <c r="K83" s="8"/>
      <c r="M83" t="s">
        <v>262</v>
      </c>
      <c r="N83">
        <f>N82/X26/T26</f>
        <v>0</v>
      </c>
      <c r="Q83" s="8"/>
      <c r="V83" s="8"/>
      <c r="Z83" s="8"/>
      <c r="AA83" s="6"/>
      <c r="AB83" s="7"/>
      <c r="AC83" s="7" t="s">
        <v>131</v>
      </c>
      <c r="AD83">
        <f>AD82/AD80</f>
        <v>0.54816375839243958</v>
      </c>
      <c r="AE83" s="7"/>
      <c r="AF83" s="7"/>
      <c r="AG83" s="7"/>
      <c r="AH83" s="7"/>
      <c r="AI83" s="8"/>
    </row>
    <row r="84" spans="1:35" x14ac:dyDescent="0.2">
      <c r="C84" t="s">
        <v>23</v>
      </c>
      <c r="D84">
        <v>0.1</v>
      </c>
      <c r="K84" s="8"/>
      <c r="M84" t="s">
        <v>263</v>
      </c>
      <c r="N84">
        <f>(70*(N83*T26)^0.75)*365</f>
        <v>0</v>
      </c>
      <c r="Q84" s="8"/>
      <c r="S84" s="16" t="s">
        <v>183</v>
      </c>
      <c r="V84" s="8"/>
      <c r="Z84" s="8"/>
      <c r="AA84" s="6"/>
      <c r="AB84" s="7"/>
      <c r="AC84" s="7" t="s">
        <v>132</v>
      </c>
      <c r="AD84">
        <f>AD83*N31</f>
        <v>467.03552215035853</v>
      </c>
      <c r="AE84" s="7"/>
      <c r="AF84" s="7"/>
      <c r="AG84" s="7"/>
      <c r="AH84" s="7"/>
      <c r="AI84" s="8"/>
    </row>
    <row r="85" spans="1:35" x14ac:dyDescent="0.2">
      <c r="C85" t="s">
        <v>24</v>
      </c>
      <c r="D85">
        <v>0.3</v>
      </c>
      <c r="K85" s="8"/>
      <c r="M85" t="s">
        <v>264</v>
      </c>
      <c r="N85">
        <v>0.65</v>
      </c>
      <c r="O85" s="60">
        <f>SUM(N85:N87)</f>
        <v>1</v>
      </c>
      <c r="Q85" s="8"/>
      <c r="V85" s="8"/>
      <c r="Z85" s="8"/>
      <c r="AA85" s="6"/>
      <c r="AB85" s="7"/>
      <c r="AC85" s="7" t="s">
        <v>133</v>
      </c>
      <c r="AD85">
        <f>AD84*AD79</f>
        <v>19268.899641055843</v>
      </c>
      <c r="AE85" s="7"/>
      <c r="AF85" s="7"/>
      <c r="AG85" s="7"/>
      <c r="AH85" s="7"/>
      <c r="AI85" s="8"/>
    </row>
    <row r="86" spans="1:35" x14ac:dyDescent="0.2">
      <c r="C86" t="s">
        <v>25</v>
      </c>
      <c r="D86" s="18">
        <f>F26*(1-(D84+D85))</f>
        <v>4752000</v>
      </c>
      <c r="K86" s="8"/>
      <c r="M86" t="s">
        <v>265</v>
      </c>
      <c r="N86">
        <v>0.1</v>
      </c>
      <c r="O86" s="60"/>
      <c r="Q86" s="8"/>
      <c r="V86" s="8"/>
      <c r="Z86" s="8"/>
      <c r="AA86" s="6"/>
      <c r="AB86" s="7"/>
      <c r="AC86" s="11" t="s">
        <v>187</v>
      </c>
      <c r="AD86" s="7">
        <f>AD84*AD81</f>
        <v>17149320.680539701</v>
      </c>
      <c r="AE86" s="7"/>
      <c r="AF86" s="7"/>
      <c r="AG86" s="7"/>
      <c r="AH86" s="7"/>
      <c r="AI86" s="8"/>
    </row>
    <row r="87" spans="1:35" x14ac:dyDescent="0.2">
      <c r="C87" t="s">
        <v>26</v>
      </c>
      <c r="D87" s="18">
        <f>D83/D86</f>
        <v>3.6034532828282832E-2</v>
      </c>
      <c r="K87" s="8"/>
      <c r="M87" t="s">
        <v>270</v>
      </c>
      <c r="N87">
        <v>0.25</v>
      </c>
      <c r="O87" s="60"/>
      <c r="Q87" s="8"/>
      <c r="R87" s="3" t="s">
        <v>244</v>
      </c>
      <c r="V87" s="8"/>
      <c r="Z87" s="8"/>
      <c r="AA87" s="6"/>
      <c r="AB87" s="12" t="s">
        <v>137</v>
      </c>
      <c r="AC87" s="7"/>
      <c r="AD87" s="7"/>
      <c r="AE87" s="7"/>
      <c r="AF87" s="7"/>
      <c r="AG87" s="7"/>
      <c r="AH87" s="7"/>
      <c r="AI87" s="8"/>
    </row>
    <row r="88" spans="1:35" x14ac:dyDescent="0.2">
      <c r="C88" t="s">
        <v>27</v>
      </c>
      <c r="D88" s="18">
        <f>D87*N38</f>
        <v>30.701421969696973</v>
      </c>
      <c r="K88" s="8"/>
      <c r="M88" t="s">
        <v>49</v>
      </c>
      <c r="N88">
        <f>N84*N85/W31</f>
        <v>0</v>
      </c>
      <c r="Q88" s="8"/>
      <c r="V88" s="8"/>
      <c r="Z88" s="8"/>
      <c r="AA88" s="6"/>
      <c r="AB88" s="7"/>
      <c r="AC88" s="7" t="s">
        <v>135</v>
      </c>
      <c r="AD88">
        <v>0.9</v>
      </c>
      <c r="AE88" s="7" t="s">
        <v>233</v>
      </c>
      <c r="AF88" s="7"/>
      <c r="AG88" s="7"/>
      <c r="AH88" s="7"/>
      <c r="AI88" s="8"/>
    </row>
    <row r="89" spans="1:35" x14ac:dyDescent="0.2">
      <c r="K89" s="8"/>
      <c r="M89" t="s">
        <v>50</v>
      </c>
      <c r="N89">
        <f>N86*N84/W32</f>
        <v>0</v>
      </c>
      <c r="Q89" s="8"/>
      <c r="V89" s="8"/>
      <c r="Z89" s="8"/>
      <c r="AA89" s="6"/>
      <c r="AB89" s="7"/>
      <c r="AC89" s="7" t="s">
        <v>136</v>
      </c>
      <c r="AD89">
        <v>0.2</v>
      </c>
      <c r="AE89" s="7" t="s">
        <v>234</v>
      </c>
      <c r="AF89" s="7"/>
      <c r="AG89" s="7"/>
      <c r="AH89" s="7"/>
      <c r="AI89" s="8"/>
    </row>
    <row r="90" spans="1:35" x14ac:dyDescent="0.2">
      <c r="A90" s="9"/>
      <c r="B90" s="9"/>
      <c r="C90" s="9"/>
      <c r="D90" s="9"/>
      <c r="E90" s="9"/>
      <c r="F90" s="9"/>
      <c r="G90" s="9"/>
      <c r="H90" s="9"/>
      <c r="I90" s="9"/>
      <c r="J90" s="9"/>
      <c r="K90" s="10"/>
      <c r="M90" t="s">
        <v>271</v>
      </c>
      <c r="N90">
        <f>N87*N84/W33</f>
        <v>0</v>
      </c>
      <c r="Q90" s="8"/>
      <c r="V90" s="8"/>
      <c r="Z90" s="8"/>
      <c r="AA90" s="6"/>
      <c r="AB90" s="7"/>
      <c r="AC90" s="7" t="s">
        <v>143</v>
      </c>
      <c r="AD90">
        <f>(1-AD88)*AD89</f>
        <v>1.9999999999999997E-2</v>
      </c>
      <c r="AE90" s="7"/>
      <c r="AF90" s="7"/>
      <c r="AG90" s="7"/>
      <c r="AH90" s="7"/>
      <c r="AI90" s="8"/>
    </row>
    <row r="91" spans="1:35" x14ac:dyDescent="0.2">
      <c r="K91" s="8"/>
      <c r="M91" t="s">
        <v>266</v>
      </c>
      <c r="N91">
        <f>SUM(N88:N90)</f>
        <v>0</v>
      </c>
      <c r="Q91" s="8"/>
      <c r="V91" s="8"/>
      <c r="Z91" s="8"/>
      <c r="AA91" s="6"/>
      <c r="AB91" s="7"/>
      <c r="AC91" s="7" t="s">
        <v>138</v>
      </c>
      <c r="AD91">
        <f>(AD89*AD88)*E43</f>
        <v>149.4</v>
      </c>
      <c r="AE91" s="7"/>
      <c r="AF91" s="7"/>
      <c r="AG91" s="7"/>
      <c r="AH91" s="7"/>
      <c r="AI91" s="8"/>
    </row>
    <row r="92" spans="1:35" x14ac:dyDescent="0.2">
      <c r="B92" s="3" t="s">
        <v>108</v>
      </c>
      <c r="D92" s="3" t="s">
        <v>109</v>
      </c>
      <c r="E92" s="3">
        <f>D99</f>
        <v>4.5313319871012192</v>
      </c>
      <c r="K92" s="8"/>
      <c r="M92" s="3" t="s">
        <v>267</v>
      </c>
      <c r="N92">
        <f>N91*N31</f>
        <v>0</v>
      </c>
      <c r="Q92" s="8"/>
      <c r="V92" s="8"/>
      <c r="Z92" s="8"/>
      <c r="AA92" s="6"/>
      <c r="AB92" s="7"/>
      <c r="AC92" s="7" t="s">
        <v>139</v>
      </c>
      <c r="AD92">
        <f>G43*N25</f>
        <v>48924.6</v>
      </c>
      <c r="AE92" s="7"/>
      <c r="AF92" s="7"/>
      <c r="AG92" s="7"/>
      <c r="AH92" s="7"/>
      <c r="AI92" s="8"/>
    </row>
    <row r="93" spans="1:35" x14ac:dyDescent="0.2">
      <c r="B93" s="3" t="s">
        <v>311</v>
      </c>
      <c r="K93" s="8"/>
      <c r="M93" s="3" t="s">
        <v>272</v>
      </c>
      <c r="N93">
        <f>N83*N31</f>
        <v>0</v>
      </c>
      <c r="Q93" s="8"/>
      <c r="V93" s="8"/>
      <c r="Z93" s="8"/>
      <c r="AA93" s="6"/>
      <c r="AB93" s="7"/>
      <c r="AC93" s="7" t="s">
        <v>140</v>
      </c>
      <c r="AD93">
        <f>AD92/AD91</f>
        <v>327.47389558232931</v>
      </c>
      <c r="AF93" s="7"/>
      <c r="AG93" s="7"/>
      <c r="AH93" s="7"/>
      <c r="AI93" s="8"/>
    </row>
    <row r="94" spans="1:35" x14ac:dyDescent="0.2">
      <c r="C94" t="s">
        <v>22</v>
      </c>
      <c r="D94">
        <f>N25*G29</f>
        <v>20385.25</v>
      </c>
      <c r="K94" s="8"/>
      <c r="Q94" s="8"/>
      <c r="V94" s="8"/>
      <c r="Z94" s="8"/>
      <c r="AA94" s="6"/>
      <c r="AB94" s="7"/>
      <c r="AC94" s="7" t="s">
        <v>141</v>
      </c>
      <c r="AD94">
        <f>AD93*N31</f>
        <v>279007.75903614459</v>
      </c>
      <c r="AE94" s="7" t="s">
        <v>317</v>
      </c>
      <c r="AF94" s="7"/>
      <c r="AG94" s="7"/>
      <c r="AH94" s="7"/>
      <c r="AI94" s="8"/>
    </row>
    <row r="95" spans="1:35" x14ac:dyDescent="0.2">
      <c r="C95" t="s">
        <v>23</v>
      </c>
      <c r="D95">
        <v>0</v>
      </c>
      <c r="K95" s="8"/>
      <c r="Q95" s="8"/>
      <c r="V95" s="8"/>
      <c r="Z95" s="8"/>
      <c r="AA95" s="6"/>
      <c r="AB95" s="7"/>
      <c r="AC95" s="7" t="s">
        <v>142</v>
      </c>
      <c r="AD95">
        <f>AD90*AD94</f>
        <v>5580.1551807228907</v>
      </c>
      <c r="AE95" s="7"/>
      <c r="AF95" s="7"/>
      <c r="AG95" s="7"/>
      <c r="AH95" s="7"/>
      <c r="AI95" s="8"/>
    </row>
    <row r="96" spans="1:35" x14ac:dyDescent="0.2">
      <c r="C96" t="s">
        <v>24</v>
      </c>
      <c r="D96">
        <v>0.3</v>
      </c>
      <c r="K96" s="8"/>
      <c r="Q96" s="8"/>
      <c r="V96" s="8"/>
      <c r="Z96" s="8"/>
      <c r="AA96" s="6"/>
      <c r="AB96" s="7"/>
      <c r="AC96" s="7" t="s">
        <v>144</v>
      </c>
      <c r="AD96">
        <f>AD95*E42</f>
        <v>6701766.3720481917</v>
      </c>
      <c r="AE96" s="7"/>
      <c r="AF96" s="7"/>
      <c r="AG96" s="7"/>
      <c r="AH96" s="7"/>
      <c r="AI96" s="8"/>
    </row>
    <row r="97" spans="3:35" x14ac:dyDescent="0.2">
      <c r="C97" t="s">
        <v>25</v>
      </c>
      <c r="D97">
        <f>F29*(1-SUM(D95:D96))</f>
        <v>3832919.9999999995</v>
      </c>
      <c r="K97" s="8"/>
      <c r="Q97" s="8"/>
      <c r="V97" s="8"/>
      <c r="Z97" s="8"/>
      <c r="AA97" s="6"/>
      <c r="AB97" s="7"/>
      <c r="AC97" s="7"/>
      <c r="AD97" s="7"/>
      <c r="AE97" s="7"/>
      <c r="AF97" s="7"/>
      <c r="AG97" s="7"/>
      <c r="AH97" s="7"/>
      <c r="AI97" s="8"/>
    </row>
    <row r="98" spans="3:35" x14ac:dyDescent="0.2">
      <c r="C98" t="s">
        <v>26</v>
      </c>
      <c r="D98">
        <f>D94/D97</f>
        <v>5.3184647735929798E-3</v>
      </c>
      <c r="K98" s="8"/>
      <c r="Q98" s="8"/>
      <c r="V98" s="8"/>
      <c r="Z98" s="8"/>
      <c r="AA98" s="6"/>
      <c r="AB98" s="12" t="s">
        <v>121</v>
      </c>
      <c r="AC98" s="7"/>
      <c r="AD98" s="7"/>
      <c r="AE98" s="7"/>
      <c r="AF98" s="7"/>
      <c r="AG98" s="7"/>
      <c r="AH98" s="7"/>
      <c r="AI98" s="8"/>
    </row>
    <row r="99" spans="3:35" x14ac:dyDescent="0.2">
      <c r="C99" t="s">
        <v>27</v>
      </c>
      <c r="D99">
        <f>D98*N38</f>
        <v>4.5313319871012192</v>
      </c>
      <c r="K99" s="8"/>
      <c r="Q99" s="8"/>
      <c r="V99" s="8"/>
      <c r="Z99" s="8"/>
      <c r="AA99" s="6"/>
      <c r="AB99" s="7"/>
      <c r="AC99" s="7" t="s">
        <v>145</v>
      </c>
      <c r="AD99" s="7">
        <v>0.5</v>
      </c>
      <c r="AE99" s="7" t="s">
        <v>113</v>
      </c>
      <c r="AF99" s="7"/>
      <c r="AG99" s="7"/>
      <c r="AH99" s="7"/>
      <c r="AI99" s="8"/>
    </row>
    <row r="100" spans="3:35" x14ac:dyDescent="0.2">
      <c r="K100" s="8"/>
      <c r="Q100" s="8"/>
      <c r="V100" s="8"/>
      <c r="Z100" s="8"/>
      <c r="AA100" s="6"/>
      <c r="AB100" s="7"/>
      <c r="AC100" s="7" t="s">
        <v>146</v>
      </c>
      <c r="AD100" s="7">
        <f>AD99*365</f>
        <v>182.5</v>
      </c>
      <c r="AE100" s="7"/>
      <c r="AF100" s="7"/>
      <c r="AG100" s="7"/>
      <c r="AH100" s="7"/>
      <c r="AI100" s="8"/>
    </row>
    <row r="101" spans="3:35" x14ac:dyDescent="0.2">
      <c r="K101" s="8"/>
      <c r="Q101" s="8"/>
      <c r="V101" s="8"/>
      <c r="Z101" s="8"/>
      <c r="AA101" s="6"/>
      <c r="AB101" s="7"/>
      <c r="AC101" s="7" t="s">
        <v>148</v>
      </c>
      <c r="AD101" s="7">
        <f>V35</f>
        <v>890</v>
      </c>
      <c r="AE101" s="7"/>
      <c r="AF101" s="7"/>
      <c r="AG101" s="7"/>
      <c r="AH101" s="7"/>
      <c r="AI101" s="8"/>
    </row>
    <row r="102" spans="3:35" x14ac:dyDescent="0.2">
      <c r="K102" s="8"/>
      <c r="Q102" s="8"/>
      <c r="V102" s="8"/>
      <c r="Z102" s="8"/>
      <c r="AA102" s="6"/>
      <c r="AB102" s="7"/>
      <c r="AC102" s="7" t="s">
        <v>147</v>
      </c>
      <c r="AD102" s="7">
        <f>AD100*AD101</f>
        <v>162425</v>
      </c>
      <c r="AE102" s="7"/>
      <c r="AF102" s="7"/>
      <c r="AG102" s="7"/>
      <c r="AH102" s="7"/>
      <c r="AI102" s="8"/>
    </row>
    <row r="103" spans="3:35" x14ac:dyDescent="0.2">
      <c r="K103" s="8"/>
      <c r="Q103" s="8"/>
      <c r="V103" s="8"/>
      <c r="Z103" s="8"/>
      <c r="AA103" s="6"/>
      <c r="AB103" s="7"/>
      <c r="AC103" s="7" t="s">
        <v>150</v>
      </c>
      <c r="AD103" s="7">
        <f>AD100*N31</f>
        <v>155490</v>
      </c>
      <c r="AE103" s="7"/>
      <c r="AF103" s="7"/>
      <c r="AG103" s="7"/>
      <c r="AH103" s="7"/>
      <c r="AI103" s="8"/>
    </row>
    <row r="104" spans="3:35" x14ac:dyDescent="0.2">
      <c r="K104" s="8"/>
      <c r="Q104" s="8"/>
      <c r="V104" s="8"/>
      <c r="Z104" s="8"/>
      <c r="AA104" s="6"/>
      <c r="AB104" s="7"/>
      <c r="AC104" s="7" t="s">
        <v>149</v>
      </c>
      <c r="AD104" s="7">
        <f>AD102*N38</f>
        <v>138386100</v>
      </c>
      <c r="AE104" s="7"/>
      <c r="AF104" s="7"/>
      <c r="AG104" s="7"/>
      <c r="AH104" s="7"/>
      <c r="AI104" s="8"/>
    </row>
    <row r="105" spans="3:35" x14ac:dyDescent="0.2">
      <c r="K105" s="8"/>
      <c r="Q105" s="8"/>
      <c r="V105" s="8"/>
      <c r="Z105" s="8"/>
      <c r="AA105" s="6"/>
      <c r="AB105" s="7"/>
      <c r="AC105" s="7"/>
      <c r="AD105" s="7"/>
      <c r="AE105" s="7"/>
      <c r="AF105" s="7"/>
      <c r="AG105" s="7"/>
      <c r="AH105" s="7"/>
      <c r="AI105" s="8"/>
    </row>
    <row r="106" spans="3:35" x14ac:dyDescent="0.2">
      <c r="Z106" s="8"/>
      <c r="AA106" s="23"/>
      <c r="AB106" s="9"/>
      <c r="AC106" s="9"/>
      <c r="AD106" s="9"/>
      <c r="AE106" s="9"/>
      <c r="AF106" s="9"/>
      <c r="AG106" s="9"/>
      <c r="AH106" s="9"/>
      <c r="AI106" s="10"/>
    </row>
  </sheetData>
  <mergeCells count="10">
    <mergeCell ref="O85:O87"/>
    <mergeCell ref="O69:O71"/>
    <mergeCell ref="F74:F76"/>
    <mergeCell ref="G74:G76"/>
    <mergeCell ref="B25:B33"/>
    <mergeCell ref="O53:O54"/>
    <mergeCell ref="F67:F68"/>
    <mergeCell ref="G67:G68"/>
    <mergeCell ref="B34:B39"/>
    <mergeCell ref="B40:B4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9DDCA0-B6E1-6C43-9F05-E6A14DAE096D}">
  <dimension ref="A1:AI106"/>
  <sheetViews>
    <sheetView topLeftCell="A35" workbookViewId="0">
      <selection activeCell="H41" sqref="H41"/>
    </sheetView>
  </sheetViews>
  <sheetFormatPr baseColWidth="10" defaultRowHeight="16" x14ac:dyDescent="0.2"/>
  <cols>
    <col min="1" max="1" width="13.33203125" customWidth="1"/>
    <col min="2" max="2" width="14" customWidth="1"/>
    <col min="3" max="3" width="34.6640625" customWidth="1"/>
    <col min="4" max="4" width="19" customWidth="1"/>
    <col min="6" max="6" width="15" customWidth="1"/>
    <col min="13" max="13" width="43.5" customWidth="1"/>
    <col min="18" max="18" width="14.6640625" customWidth="1"/>
    <col min="19" max="19" width="43.83203125" customWidth="1"/>
    <col min="20" max="20" width="17.5" customWidth="1"/>
    <col min="22" max="22" width="14.5" customWidth="1"/>
    <col min="23" max="23" width="23.5" customWidth="1"/>
    <col min="24" max="24" width="33" customWidth="1"/>
    <col min="27" max="27" width="22.83203125" bestFit="1" customWidth="1"/>
    <col min="28" max="28" width="13.33203125" customWidth="1"/>
    <col min="29" max="29" width="50.1640625" bestFit="1" customWidth="1"/>
    <col min="30" max="30" width="12.1640625" bestFit="1" customWidth="1"/>
    <col min="33" max="33" width="45.6640625" bestFit="1" customWidth="1"/>
  </cols>
  <sheetData>
    <row r="1" spans="1:5" ht="21" x14ac:dyDescent="0.25">
      <c r="A1" s="2" t="s">
        <v>0</v>
      </c>
    </row>
    <row r="2" spans="1:5" ht="21" x14ac:dyDescent="0.25">
      <c r="A2" s="2" t="s">
        <v>167</v>
      </c>
      <c r="B2" s="2">
        <v>1800</v>
      </c>
    </row>
    <row r="3" spans="1:5" s="9" customFormat="1" ht="21" x14ac:dyDescent="0.25">
      <c r="A3" s="19" t="s">
        <v>166</v>
      </c>
      <c r="B3" s="19" t="s">
        <v>288</v>
      </c>
    </row>
    <row r="7" spans="1:5" ht="19" x14ac:dyDescent="0.25">
      <c r="B7" s="20" t="s">
        <v>168</v>
      </c>
      <c r="C7" s="4"/>
      <c r="D7" s="4"/>
      <c r="E7" s="5"/>
    </row>
    <row r="8" spans="1:5" x14ac:dyDescent="0.2">
      <c r="B8" s="21" t="s">
        <v>169</v>
      </c>
      <c r="C8" s="12" t="s">
        <v>251</v>
      </c>
      <c r="D8" s="12" t="s">
        <v>104</v>
      </c>
      <c r="E8" s="22" t="s">
        <v>252</v>
      </c>
    </row>
    <row r="9" spans="1:5" x14ac:dyDescent="0.2">
      <c r="B9" s="6">
        <v>1</v>
      </c>
      <c r="C9" s="7" t="s">
        <v>105</v>
      </c>
      <c r="D9" s="15">
        <f>N34*(N38/N31)</f>
        <v>5.5500000000000007</v>
      </c>
      <c r="E9" s="8">
        <v>1</v>
      </c>
    </row>
    <row r="10" spans="1:5" x14ac:dyDescent="0.2">
      <c r="B10" s="6">
        <v>2</v>
      </c>
      <c r="C10" s="7" t="s">
        <v>212</v>
      </c>
      <c r="D10" s="15">
        <f>E48+G69</f>
        <v>130.71829224747273</v>
      </c>
      <c r="E10" s="8">
        <v>2</v>
      </c>
    </row>
    <row r="11" spans="1:5" x14ac:dyDescent="0.2">
      <c r="B11" s="6">
        <v>3</v>
      </c>
      <c r="C11" s="7" t="s">
        <v>213</v>
      </c>
      <c r="D11" s="15">
        <f>E57</f>
        <v>139.78581309941521</v>
      </c>
      <c r="E11" s="8">
        <v>3</v>
      </c>
    </row>
    <row r="12" spans="1:5" x14ac:dyDescent="0.2">
      <c r="B12" s="6">
        <v>4</v>
      </c>
      <c r="C12" s="7" t="s">
        <v>214</v>
      </c>
      <c r="D12" s="15">
        <f>D11/(1/3)-D11</f>
        <v>279.57162619883047</v>
      </c>
      <c r="E12" s="8">
        <v>4</v>
      </c>
    </row>
    <row r="13" spans="1:5" x14ac:dyDescent="0.2">
      <c r="B13" s="6">
        <v>5</v>
      </c>
      <c r="C13" s="7" t="s">
        <v>285</v>
      </c>
      <c r="D13" s="15">
        <f>N75+N92</f>
        <v>104.14077801294594</v>
      </c>
      <c r="E13" s="8">
        <v>4</v>
      </c>
    </row>
    <row r="14" spans="1:5" x14ac:dyDescent="0.2">
      <c r="B14" s="6">
        <v>6</v>
      </c>
      <c r="C14" s="7" t="s">
        <v>215</v>
      </c>
      <c r="D14" s="15">
        <f>E92</f>
        <v>7.031610364943699</v>
      </c>
      <c r="E14" s="8">
        <v>5</v>
      </c>
    </row>
    <row r="15" spans="1:5" x14ac:dyDescent="0.2">
      <c r="B15" s="6">
        <v>7</v>
      </c>
      <c r="C15" s="7" t="s">
        <v>216</v>
      </c>
      <c r="D15" s="15">
        <f>U47</f>
        <v>85.199999999999989</v>
      </c>
      <c r="E15" s="8">
        <v>5</v>
      </c>
    </row>
    <row r="16" spans="1:5" x14ac:dyDescent="0.2">
      <c r="B16" s="6">
        <v>8</v>
      </c>
      <c r="C16" s="7" t="s">
        <v>238</v>
      </c>
      <c r="D16" s="15">
        <f>N58</f>
        <v>67.98801084277477</v>
      </c>
      <c r="E16" s="8">
        <v>6</v>
      </c>
    </row>
    <row r="17" spans="1:35" x14ac:dyDescent="0.2">
      <c r="B17" s="6">
        <v>9</v>
      </c>
      <c r="C17" s="7" t="s">
        <v>106</v>
      </c>
      <c r="D17" s="15">
        <f>Y52</f>
        <v>1389.99584304</v>
      </c>
      <c r="E17" s="8">
        <v>6</v>
      </c>
    </row>
    <row r="18" spans="1:35" x14ac:dyDescent="0.2">
      <c r="B18" s="6">
        <v>10</v>
      </c>
      <c r="C18" s="7" t="s">
        <v>211</v>
      </c>
      <c r="D18" s="15">
        <f>SUM(D9:D15)+D16</f>
        <v>819.98613076638287</v>
      </c>
      <c r="E18" s="8" t="s">
        <v>16</v>
      </c>
    </row>
    <row r="19" spans="1:35" x14ac:dyDescent="0.2">
      <c r="B19" s="23">
        <v>11</v>
      </c>
      <c r="C19" s="46" t="s">
        <v>253</v>
      </c>
      <c r="D19" s="41">
        <f>SUM(D9:D17)</f>
        <v>2209.9819738063829</v>
      </c>
      <c r="E19" s="10" t="s">
        <v>16</v>
      </c>
    </row>
    <row r="21" spans="1:35" s="4" customFormat="1" x14ac:dyDescent="0.2">
      <c r="A21" s="26"/>
      <c r="K21" s="5"/>
      <c r="Q21" s="5"/>
      <c r="R21" s="26"/>
      <c r="Z21" s="5"/>
      <c r="AA21" s="26"/>
      <c r="AI21" s="5"/>
    </row>
    <row r="22" spans="1:35" ht="19" x14ac:dyDescent="0.25">
      <c r="A22" s="27" t="s">
        <v>170</v>
      </c>
      <c r="C22" s="7"/>
      <c r="D22" s="7"/>
      <c r="E22" s="7"/>
      <c r="F22" s="7"/>
      <c r="G22" s="7"/>
      <c r="H22" s="7"/>
      <c r="I22" s="7"/>
      <c r="J22" s="7"/>
      <c r="K22" s="8"/>
      <c r="L22" s="7"/>
      <c r="M22" s="7"/>
      <c r="N22" s="7"/>
      <c r="O22" s="7"/>
      <c r="P22" s="7"/>
      <c r="Q22" s="8"/>
      <c r="R22" s="6"/>
      <c r="S22" s="7"/>
      <c r="T22" s="7"/>
      <c r="U22" s="7"/>
      <c r="V22" s="7"/>
      <c r="W22" s="7"/>
      <c r="X22" s="7"/>
      <c r="Y22" s="7"/>
      <c r="Z22" s="8"/>
      <c r="AA22" s="6"/>
      <c r="AB22" s="7"/>
      <c r="AC22" s="7"/>
      <c r="AD22" s="7"/>
      <c r="AE22" s="7"/>
      <c r="AF22" s="7"/>
      <c r="AG22" s="7"/>
      <c r="AH22" s="7"/>
      <c r="AI22" s="8"/>
    </row>
    <row r="23" spans="1:35" ht="19" x14ac:dyDescent="0.25">
      <c r="A23" s="24" t="s">
        <v>28</v>
      </c>
      <c r="C23" s="7"/>
      <c r="D23" s="7"/>
      <c r="E23" s="7"/>
      <c r="F23" s="7"/>
      <c r="G23" s="7"/>
      <c r="H23" s="7"/>
      <c r="I23" s="7"/>
      <c r="J23" s="7"/>
      <c r="K23" s="8"/>
      <c r="L23" s="24" t="s">
        <v>31</v>
      </c>
      <c r="N23" s="7"/>
      <c r="O23" s="7"/>
      <c r="P23" s="7"/>
      <c r="Q23" s="8"/>
      <c r="R23" s="31" t="s">
        <v>45</v>
      </c>
      <c r="S23" s="7"/>
      <c r="T23" s="7"/>
      <c r="U23" s="7"/>
      <c r="V23" s="7"/>
      <c r="W23" s="7"/>
      <c r="X23" s="7"/>
      <c r="Y23" s="7"/>
      <c r="Z23" s="8"/>
      <c r="AA23" s="31" t="s">
        <v>152</v>
      </c>
      <c r="AB23" s="7"/>
      <c r="AC23" s="7"/>
      <c r="AD23" s="7"/>
      <c r="AE23" s="7"/>
      <c r="AF23" s="7"/>
      <c r="AG23" s="7"/>
      <c r="AH23" s="7"/>
      <c r="AI23" s="8"/>
    </row>
    <row r="24" spans="1:35" ht="34" x14ac:dyDescent="0.2">
      <c r="A24" s="6"/>
      <c r="B24" s="51"/>
      <c r="C24" s="51" t="s">
        <v>1</v>
      </c>
      <c r="D24" s="51" t="s">
        <v>2</v>
      </c>
      <c r="E24" s="47" t="s">
        <v>3</v>
      </c>
      <c r="F24" s="47" t="s">
        <v>4</v>
      </c>
      <c r="G24" s="48" t="s">
        <v>44</v>
      </c>
      <c r="H24" t="s">
        <v>18</v>
      </c>
      <c r="I24" s="7"/>
      <c r="J24" s="7"/>
      <c r="K24" s="8"/>
      <c r="L24" s="7"/>
      <c r="M24" s="7" t="s">
        <v>29</v>
      </c>
      <c r="N24" s="7">
        <v>2600</v>
      </c>
      <c r="O24" s="7" t="s">
        <v>172</v>
      </c>
      <c r="P24" s="7"/>
      <c r="Q24" s="8"/>
      <c r="R24" s="6"/>
      <c r="S24" s="33" t="s">
        <v>47</v>
      </c>
      <c r="T24" s="28">
        <v>45</v>
      </c>
      <c r="U24" s="7"/>
      <c r="V24" s="7"/>
      <c r="W24" s="14" t="s">
        <v>52</v>
      </c>
      <c r="X24" s="28">
        <v>7.3599999999999999E-2</v>
      </c>
      <c r="Y24" s="7" t="s">
        <v>274</v>
      </c>
      <c r="Z24" s="8"/>
      <c r="AA24" s="6"/>
      <c r="AB24" s="7"/>
      <c r="AC24" s="12" t="s">
        <v>153</v>
      </c>
      <c r="AD24" s="12" t="s">
        <v>154</v>
      </c>
      <c r="AE24" s="7"/>
      <c r="AF24" s="7"/>
      <c r="AG24" s="7" t="s">
        <v>161</v>
      </c>
      <c r="AH24" s="7">
        <f>N59</f>
        <v>455.33465955406882</v>
      </c>
      <c r="AI24" s="8"/>
    </row>
    <row r="25" spans="1:35" ht="34" x14ac:dyDescent="0.2">
      <c r="A25" s="6"/>
      <c r="B25" s="61" t="s">
        <v>17</v>
      </c>
      <c r="C25" t="s">
        <v>5</v>
      </c>
      <c r="D25" s="51">
        <v>1650</v>
      </c>
      <c r="E25" s="54">
        <v>3540</v>
      </c>
      <c r="F25" s="49">
        <f>D25*E25</f>
        <v>5841000</v>
      </c>
      <c r="G25" s="51">
        <v>0.32</v>
      </c>
      <c r="I25" s="7"/>
      <c r="L25" s="7"/>
      <c r="M25" s="7" t="s">
        <v>30</v>
      </c>
      <c r="N25" s="7">
        <f>N24*365</f>
        <v>949000</v>
      </c>
      <c r="O25" s="7"/>
      <c r="P25" s="7"/>
      <c r="Q25" s="8"/>
      <c r="R25" s="6"/>
      <c r="S25" s="33" t="s">
        <v>46</v>
      </c>
      <c r="T25" s="28">
        <v>436</v>
      </c>
      <c r="U25" s="32" t="s">
        <v>218</v>
      </c>
      <c r="V25" s="7"/>
      <c r="W25" s="14" t="s">
        <v>53</v>
      </c>
      <c r="X25" s="28">
        <v>0.222</v>
      </c>
      <c r="Y25" s="32" t="s">
        <v>275</v>
      </c>
      <c r="Z25" s="8"/>
      <c r="AA25" s="6"/>
      <c r="AB25" s="12" t="s">
        <v>151</v>
      </c>
      <c r="AC25" s="36">
        <f>AD56/1000</f>
        <v>692062.86831948604</v>
      </c>
      <c r="AD25" s="36">
        <f>AC25*$AB$39</f>
        <v>332190176.79335332</v>
      </c>
      <c r="AE25" s="7"/>
      <c r="AF25" s="7"/>
      <c r="AG25" s="7" t="s">
        <v>162</v>
      </c>
      <c r="AH25" s="7">
        <f>N52/N51</f>
        <v>557907.49427773454</v>
      </c>
      <c r="AI25" s="8"/>
    </row>
    <row r="26" spans="1:35" ht="34" x14ac:dyDescent="0.2">
      <c r="A26" s="6"/>
      <c r="B26" s="61"/>
      <c r="C26" t="s">
        <v>315</v>
      </c>
      <c r="D26" s="51">
        <v>6000</v>
      </c>
      <c r="E26" s="54">
        <v>1320</v>
      </c>
      <c r="F26" s="49">
        <f t="shared" ref="F26:F32" si="0">D26*E26</f>
        <v>7920000</v>
      </c>
      <c r="G26" s="51">
        <v>0.21</v>
      </c>
      <c r="I26" s="7"/>
      <c r="J26" s="7"/>
      <c r="K26" s="8"/>
      <c r="L26" s="7"/>
      <c r="M26" s="7"/>
      <c r="N26" s="7"/>
      <c r="O26" s="7"/>
      <c r="P26" s="7"/>
      <c r="Q26" s="8"/>
      <c r="R26" s="6"/>
      <c r="S26" s="33" t="s">
        <v>269</v>
      </c>
      <c r="T26" s="28">
        <v>35</v>
      </c>
      <c r="U26" s="7"/>
      <c r="V26" s="7"/>
      <c r="W26" s="14" t="s">
        <v>273</v>
      </c>
      <c r="X26" s="28">
        <v>0.113</v>
      </c>
      <c r="Y26" s="7" t="s">
        <v>274</v>
      </c>
      <c r="Z26" s="8"/>
      <c r="AA26" s="6"/>
      <c r="AB26" s="12" t="s">
        <v>155</v>
      </c>
      <c r="AC26" s="36">
        <f>AD65/1000</f>
        <v>309801.54947368416</v>
      </c>
      <c r="AD26" s="36">
        <f>AC26*$AB$39</f>
        <v>148704743.7473684</v>
      </c>
      <c r="AE26" s="7"/>
      <c r="AF26" s="7"/>
      <c r="AG26" s="7" t="s">
        <v>163</v>
      </c>
      <c r="AH26" s="36">
        <f>AH25*AH24</f>
        <v>254034618.96961585</v>
      </c>
      <c r="AI26" s="8"/>
    </row>
    <row r="27" spans="1:35" ht="16" customHeight="1" x14ac:dyDescent="0.2">
      <c r="A27" s="6"/>
      <c r="B27" s="61"/>
      <c r="C27" t="s">
        <v>120</v>
      </c>
      <c r="D27" s="51">
        <v>2000</v>
      </c>
      <c r="E27" s="54">
        <v>1110</v>
      </c>
      <c r="F27" s="49">
        <f t="shared" si="0"/>
        <v>2220000</v>
      </c>
      <c r="G27" s="51">
        <v>2.1999999999999999E-2</v>
      </c>
      <c r="I27" s="7"/>
      <c r="J27" s="7"/>
      <c r="K27" s="8"/>
      <c r="L27" s="9"/>
      <c r="M27" s="9"/>
      <c r="N27" s="9"/>
      <c r="O27" s="9"/>
      <c r="P27" s="9"/>
      <c r="Q27" s="10"/>
      <c r="R27" s="6"/>
      <c r="S27" s="7"/>
      <c r="T27" s="7"/>
      <c r="U27" s="7"/>
      <c r="V27" s="7"/>
      <c r="W27" s="7"/>
      <c r="X27" s="7"/>
      <c r="Y27" s="7"/>
      <c r="Z27" s="8"/>
      <c r="AA27" s="6"/>
      <c r="AB27" s="12" t="s">
        <v>156</v>
      </c>
      <c r="AC27" s="36">
        <f>AD74/1000</f>
        <v>65554.061030630633</v>
      </c>
      <c r="AD27" s="36">
        <f>AC27*AB40</f>
        <v>15798528.708381983</v>
      </c>
      <c r="AE27" s="7"/>
      <c r="AF27" s="7"/>
      <c r="AG27" s="7"/>
      <c r="AH27" s="7"/>
      <c r="AI27" s="8"/>
    </row>
    <row r="28" spans="1:35" x14ac:dyDescent="0.2">
      <c r="A28" s="6"/>
      <c r="B28" s="61"/>
      <c r="C28" t="s">
        <v>276</v>
      </c>
      <c r="D28" s="51">
        <v>5000</v>
      </c>
      <c r="E28" s="54">
        <v>950</v>
      </c>
      <c r="F28" s="49">
        <f t="shared" si="0"/>
        <v>4750000</v>
      </c>
      <c r="G28" s="51">
        <v>0.21</v>
      </c>
      <c r="I28" s="7"/>
      <c r="J28" s="7"/>
      <c r="K28" s="8"/>
      <c r="L28" s="7"/>
      <c r="M28" s="7"/>
      <c r="N28" s="7"/>
      <c r="O28" s="7"/>
      <c r="P28" s="7"/>
      <c r="Q28" s="8"/>
      <c r="R28" s="6"/>
      <c r="S28" s="7"/>
      <c r="T28" s="7"/>
      <c r="Y28" s="7"/>
      <c r="Z28" s="8"/>
      <c r="AA28" s="6"/>
      <c r="AB28" s="12" t="s">
        <v>157</v>
      </c>
      <c r="AC28" s="36">
        <f>AD85</f>
        <v>29901.008097132315</v>
      </c>
      <c r="AD28" s="36">
        <f>AD86</f>
        <v>26611897.206447762</v>
      </c>
      <c r="AE28" s="7"/>
      <c r="AF28" s="7"/>
      <c r="AG28" s="7"/>
      <c r="AH28" s="7"/>
      <c r="AI28" s="8"/>
    </row>
    <row r="29" spans="1:35" ht="19" x14ac:dyDescent="0.25">
      <c r="A29" s="6"/>
      <c r="B29" s="61"/>
      <c r="C29" t="s">
        <v>311</v>
      </c>
      <c r="D29" s="51">
        <v>5070</v>
      </c>
      <c r="E29" s="54">
        <v>1080</v>
      </c>
      <c r="F29" s="49">
        <f t="shared" si="0"/>
        <v>5475600</v>
      </c>
      <c r="G29" s="51">
        <v>2.5000000000000001E-2</v>
      </c>
      <c r="I29" s="7"/>
      <c r="J29" s="7"/>
      <c r="K29" s="8"/>
      <c r="L29" s="24" t="s">
        <v>32</v>
      </c>
      <c r="N29" s="7"/>
      <c r="O29" s="7"/>
      <c r="P29" s="7"/>
      <c r="Q29" s="8"/>
      <c r="R29" s="6"/>
      <c r="S29" s="7"/>
      <c r="T29" s="7"/>
      <c r="U29" s="28" t="s">
        <v>56</v>
      </c>
      <c r="V29" s="28" t="s">
        <v>57</v>
      </c>
      <c r="W29" s="28" t="s">
        <v>58</v>
      </c>
      <c r="X29" s="7"/>
      <c r="Y29" s="7"/>
      <c r="Z29" s="8"/>
      <c r="AA29" s="6"/>
      <c r="AB29" s="12" t="s">
        <v>158</v>
      </c>
      <c r="AC29" s="36">
        <f>AD95</f>
        <v>8659.1485943775078</v>
      </c>
      <c r="AD29" s="36">
        <f t="shared" ref="AD29" si="1">AC29*$AB$39</f>
        <v>4156391.3253012039</v>
      </c>
      <c r="AE29" s="7"/>
      <c r="AF29" s="7"/>
      <c r="AG29" s="7" t="s">
        <v>164</v>
      </c>
      <c r="AH29" s="7" t="str">
        <f>IF(AD31&gt;AH26,"YES","NO")</f>
        <v>YES</v>
      </c>
      <c r="AI29" s="8"/>
    </row>
    <row r="30" spans="1:35" x14ac:dyDescent="0.2">
      <c r="A30" s="6"/>
      <c r="B30" s="61"/>
      <c r="C30" t="s">
        <v>7</v>
      </c>
      <c r="D30" s="49" t="s">
        <v>16</v>
      </c>
      <c r="E30" s="49" t="s">
        <v>16</v>
      </c>
      <c r="F30" s="49" t="s">
        <v>16</v>
      </c>
      <c r="G30" s="51">
        <v>0</v>
      </c>
      <c r="I30" s="7"/>
      <c r="J30" s="7"/>
      <c r="K30" s="8"/>
      <c r="L30" s="7"/>
      <c r="M30" s="12" t="s">
        <v>34</v>
      </c>
      <c r="N30" s="12" t="s">
        <v>35</v>
      </c>
      <c r="O30" s="12" t="s">
        <v>36</v>
      </c>
      <c r="P30" s="7"/>
      <c r="Q30" s="8"/>
      <c r="R30" s="6"/>
      <c r="T30" s="12"/>
      <c r="U30" s="28" t="s">
        <v>59</v>
      </c>
      <c r="V30" s="28" t="s">
        <v>60</v>
      </c>
      <c r="W30" s="28" t="s">
        <v>61</v>
      </c>
      <c r="X30" s="7" t="s">
        <v>177</v>
      </c>
      <c r="Y30" s="7"/>
      <c r="Z30" s="8"/>
      <c r="AA30" s="6"/>
      <c r="AB30" s="12" t="s">
        <v>159</v>
      </c>
      <c r="AC30" s="36">
        <f>AD103</f>
        <v>207320</v>
      </c>
      <c r="AD30" s="36">
        <f>AD104</f>
        <v>184514800</v>
      </c>
      <c r="AE30" s="7"/>
      <c r="AF30" s="7"/>
      <c r="AG30" s="7" t="s">
        <v>165</v>
      </c>
      <c r="AH30" s="15">
        <f>AD31/AH26</f>
        <v>2.8026752442981393</v>
      </c>
      <c r="AI30" s="8"/>
    </row>
    <row r="31" spans="1:35" x14ac:dyDescent="0.2">
      <c r="A31" s="6"/>
      <c r="B31" s="61"/>
      <c r="C31" t="s">
        <v>8</v>
      </c>
      <c r="D31" s="51" t="s">
        <v>16</v>
      </c>
      <c r="E31" s="49" t="s">
        <v>16</v>
      </c>
      <c r="F31" s="49" t="s">
        <v>16</v>
      </c>
      <c r="G31" s="51">
        <v>0</v>
      </c>
      <c r="I31" s="7"/>
      <c r="J31" s="7"/>
      <c r="K31" s="8"/>
      <c r="L31" s="7"/>
      <c r="M31" s="12" t="s">
        <v>33</v>
      </c>
      <c r="N31" s="12">
        <f>N32*N33</f>
        <v>1136</v>
      </c>
      <c r="O31" s="7"/>
      <c r="P31" s="7"/>
      <c r="Q31" s="8"/>
      <c r="R31" s="6"/>
      <c r="S31" s="33" t="s">
        <v>179</v>
      </c>
      <c r="T31" s="12" t="s">
        <v>62</v>
      </c>
      <c r="U31" s="7">
        <v>700</v>
      </c>
      <c r="V31" s="7">
        <v>1452</v>
      </c>
      <c r="W31" s="7">
        <f>U31*V31</f>
        <v>1016400</v>
      </c>
      <c r="X31" s="32" t="s">
        <v>178</v>
      </c>
      <c r="Y31" s="7"/>
      <c r="Z31" s="8"/>
      <c r="AA31" s="6"/>
      <c r="AB31" s="12" t="s">
        <v>160</v>
      </c>
      <c r="AC31" s="36">
        <f>SUM(AC25:AC30)</f>
        <v>1313298.6355153106</v>
      </c>
      <c r="AD31" s="36">
        <f>SUM(AD25:AD30)</f>
        <v>711976537.78085279</v>
      </c>
      <c r="AE31" s="7"/>
      <c r="AF31" s="7"/>
      <c r="AG31" s="11" t="s">
        <v>235</v>
      </c>
      <c r="AH31" s="15">
        <f>(AD25+AD26+AD27+AD30)/AH26</f>
        <v>2.6815567579416433</v>
      </c>
      <c r="AI31" s="8"/>
    </row>
    <row r="32" spans="1:35" x14ac:dyDescent="0.2">
      <c r="A32" s="6"/>
      <c r="B32" s="61"/>
      <c r="C32" t="s">
        <v>277</v>
      </c>
      <c r="D32" s="51">
        <v>12000</v>
      </c>
      <c r="E32" s="54">
        <v>410</v>
      </c>
      <c r="F32" s="49">
        <f t="shared" si="0"/>
        <v>4920000</v>
      </c>
      <c r="G32" s="51">
        <v>1.4999999999999999E-2</v>
      </c>
      <c r="I32" s="7"/>
      <c r="J32" s="7"/>
      <c r="K32" s="8"/>
      <c r="L32" s="7"/>
      <c r="M32" s="7" t="s">
        <v>37</v>
      </c>
      <c r="N32" s="7">
        <v>284</v>
      </c>
      <c r="O32" s="7" t="s">
        <v>283</v>
      </c>
      <c r="P32" s="7"/>
      <c r="Q32" s="8"/>
      <c r="R32" s="6"/>
      <c r="S32" s="7"/>
      <c r="T32" s="12" t="s">
        <v>63</v>
      </c>
      <c r="U32" s="7">
        <v>700</v>
      </c>
      <c r="V32" s="7">
        <v>2151</v>
      </c>
      <c r="W32" s="7">
        <f>U32*V32</f>
        <v>1505700</v>
      </c>
      <c r="X32" s="32" t="s">
        <v>178</v>
      </c>
      <c r="Y32" s="7"/>
      <c r="Z32" s="8"/>
      <c r="AA32" s="6"/>
      <c r="AB32" s="7"/>
      <c r="AC32" s="7"/>
      <c r="AD32" s="7"/>
      <c r="AE32" s="7"/>
      <c r="AF32" s="7"/>
      <c r="AG32" s="11" t="s">
        <v>236</v>
      </c>
      <c r="AH32" s="15">
        <f>(SUM(AD25:AD26)+AD30)/AH26</f>
        <v>2.6193663022767337</v>
      </c>
      <c r="AI32" s="8"/>
    </row>
    <row r="33" spans="1:35" x14ac:dyDescent="0.2">
      <c r="A33" s="6"/>
      <c r="B33" s="61"/>
      <c r="C33" t="s">
        <v>278</v>
      </c>
      <c r="D33" s="49" t="s">
        <v>16</v>
      </c>
      <c r="E33" s="49" t="s">
        <v>16</v>
      </c>
      <c r="F33" s="49" t="s">
        <v>16</v>
      </c>
      <c r="G33" s="51">
        <v>3.5000000000000003E-2</v>
      </c>
      <c r="I33" s="7"/>
      <c r="J33" s="7"/>
      <c r="K33" s="8"/>
      <c r="L33" s="7"/>
      <c r="M33" s="7" t="s">
        <v>38</v>
      </c>
      <c r="N33" s="7">
        <v>4</v>
      </c>
      <c r="O33" s="7"/>
      <c r="P33" s="7"/>
      <c r="Q33" s="8"/>
      <c r="R33" s="6"/>
      <c r="S33" s="7"/>
      <c r="T33" s="12" t="s">
        <v>64</v>
      </c>
      <c r="U33" s="7"/>
      <c r="V33" s="7"/>
      <c r="W33" s="7">
        <v>373646.2</v>
      </c>
      <c r="X33" s="32" t="s">
        <v>178</v>
      </c>
      <c r="Y33" s="7"/>
      <c r="Z33" s="8"/>
      <c r="AA33" s="6"/>
      <c r="AB33" s="7"/>
      <c r="AC33" s="7"/>
      <c r="AD33" s="7"/>
      <c r="AE33" s="7"/>
      <c r="AF33" s="7"/>
      <c r="AG33" s="11" t="s">
        <v>237</v>
      </c>
      <c r="AH33" s="15">
        <f>(AD26+AD30)/AH26</f>
        <v>1.3117091879009748</v>
      </c>
      <c r="AI33" s="8"/>
    </row>
    <row r="34" spans="1:35" ht="16" customHeight="1" x14ac:dyDescent="0.2">
      <c r="A34" s="6"/>
      <c r="B34" s="63" t="s">
        <v>20</v>
      </c>
      <c r="C34" t="s">
        <v>10</v>
      </c>
      <c r="D34" s="51" t="s">
        <v>16</v>
      </c>
      <c r="E34" s="54">
        <v>2370</v>
      </c>
      <c r="F34" s="51" t="s">
        <v>16</v>
      </c>
      <c r="G34" s="51">
        <v>0.01</v>
      </c>
      <c r="H34" t="s">
        <v>19</v>
      </c>
      <c r="I34" s="7"/>
      <c r="J34" s="7"/>
      <c r="K34" s="8"/>
      <c r="L34" s="7"/>
      <c r="M34" s="12" t="s">
        <v>40</v>
      </c>
      <c r="N34" s="12">
        <f>3.39+2.16</f>
        <v>5.5500000000000007</v>
      </c>
      <c r="O34" s="7" t="s">
        <v>284</v>
      </c>
      <c r="P34" s="7"/>
      <c r="Q34" s="8"/>
      <c r="R34" s="6"/>
      <c r="S34" s="7"/>
      <c r="T34" s="12" t="s">
        <v>65</v>
      </c>
      <c r="U34" s="7">
        <f>N31*3</f>
        <v>3408</v>
      </c>
      <c r="V34" s="7">
        <v>1122</v>
      </c>
      <c r="W34" s="7">
        <f>U34*V34</f>
        <v>3823776</v>
      </c>
      <c r="X34" s="32" t="s">
        <v>178</v>
      </c>
      <c r="Y34" s="7"/>
      <c r="Z34" s="8"/>
      <c r="AA34" s="6"/>
      <c r="AB34" s="7"/>
      <c r="AC34" s="7"/>
      <c r="AD34" s="7"/>
      <c r="AE34" s="7"/>
      <c r="AF34" s="7"/>
      <c r="AG34" s="7"/>
      <c r="AH34" s="7"/>
      <c r="AI34" s="8"/>
    </row>
    <row r="35" spans="1:35" ht="16" customHeight="1" x14ac:dyDescent="0.2">
      <c r="A35" s="6"/>
      <c r="B35" s="63"/>
      <c r="C35" t="s">
        <v>11</v>
      </c>
      <c r="D35" s="51" t="s">
        <v>16</v>
      </c>
      <c r="E35" s="54">
        <v>1730</v>
      </c>
      <c r="F35" s="51" t="s">
        <v>16</v>
      </c>
      <c r="G35" s="51">
        <v>0.01</v>
      </c>
      <c r="H35" t="s">
        <v>19</v>
      </c>
      <c r="I35" s="7"/>
      <c r="J35" s="7"/>
      <c r="K35" s="8"/>
      <c r="L35" s="7"/>
      <c r="M35" s="7" t="s">
        <v>39</v>
      </c>
      <c r="N35" s="7">
        <f>N34/N31</f>
        <v>4.8855633802816906E-3</v>
      </c>
      <c r="O35" s="7"/>
      <c r="P35" s="7"/>
      <c r="Q35" s="8"/>
      <c r="R35" s="6"/>
      <c r="S35" s="7"/>
      <c r="T35" s="12" t="s">
        <v>121</v>
      </c>
      <c r="U35" s="7" t="s">
        <v>122</v>
      </c>
      <c r="V35" s="7">
        <v>890</v>
      </c>
      <c r="W35" s="7" t="s">
        <v>122</v>
      </c>
      <c r="X35" s="43" t="s">
        <v>113</v>
      </c>
      <c r="Y35" s="7"/>
      <c r="Z35" s="8"/>
      <c r="AA35" s="6"/>
      <c r="AB35" s="7"/>
      <c r="AC35" s="7"/>
      <c r="AD35" s="7"/>
      <c r="AE35" s="7"/>
      <c r="AF35" s="7"/>
      <c r="AG35" s="7"/>
      <c r="AH35" s="7"/>
      <c r="AI35" s="8"/>
    </row>
    <row r="36" spans="1:35" x14ac:dyDescent="0.2">
      <c r="A36" s="6"/>
      <c r="B36" s="63"/>
      <c r="C36" t="s">
        <v>12</v>
      </c>
      <c r="D36" s="51" t="s">
        <v>16</v>
      </c>
      <c r="E36" s="54">
        <v>1201</v>
      </c>
      <c r="F36" s="51" t="s">
        <v>16</v>
      </c>
      <c r="G36" s="51">
        <v>5.0000000000000001E-3</v>
      </c>
      <c r="I36" s="7"/>
      <c r="J36" s="7"/>
      <c r="K36" s="8"/>
      <c r="L36" s="7"/>
      <c r="M36" s="7"/>
      <c r="N36" s="7"/>
      <c r="O36" s="7"/>
      <c r="P36" s="7"/>
      <c r="Q36" s="8"/>
      <c r="R36" s="6"/>
      <c r="S36" s="7"/>
      <c r="T36" s="7"/>
      <c r="U36" s="7"/>
      <c r="V36" s="7"/>
      <c r="W36" s="7"/>
      <c r="X36" s="7"/>
      <c r="Y36" s="7"/>
      <c r="Z36" s="8"/>
      <c r="AA36" s="6"/>
      <c r="AB36" s="7"/>
      <c r="AC36" s="7"/>
      <c r="AD36" s="7"/>
      <c r="AE36" s="7"/>
      <c r="AF36" s="7"/>
      <c r="AG36" s="7"/>
      <c r="AH36" s="7"/>
      <c r="AI36" s="8"/>
    </row>
    <row r="37" spans="1:35" x14ac:dyDescent="0.2">
      <c r="A37" s="6"/>
      <c r="B37" s="63"/>
      <c r="C37" t="s">
        <v>13</v>
      </c>
      <c r="D37" s="51" t="s">
        <v>16</v>
      </c>
      <c r="E37" s="54">
        <v>1340</v>
      </c>
      <c r="F37" s="51" t="s">
        <v>16</v>
      </c>
      <c r="G37" s="51">
        <v>1E-3</v>
      </c>
      <c r="H37" t="s">
        <v>242</v>
      </c>
      <c r="I37" s="7"/>
      <c r="J37" s="7"/>
      <c r="K37" s="8"/>
      <c r="L37" s="7"/>
      <c r="M37" s="40" t="s">
        <v>239</v>
      </c>
      <c r="N37" s="12" t="s">
        <v>282</v>
      </c>
      <c r="O37" s="7"/>
      <c r="P37" s="7"/>
      <c r="Q37" s="8"/>
      <c r="R37" s="6"/>
      <c r="S37" s="7"/>
      <c r="T37" s="7"/>
      <c r="U37" s="7"/>
      <c r="V37" s="7"/>
      <c r="W37" s="7"/>
      <c r="X37" s="7"/>
      <c r="Y37" s="7"/>
      <c r="Z37" s="8"/>
      <c r="AB37" s="7"/>
      <c r="AC37" s="34"/>
      <c r="AD37" s="34"/>
      <c r="AF37" s="7"/>
      <c r="AG37" s="7"/>
      <c r="AH37" s="7"/>
      <c r="AI37" s="8"/>
    </row>
    <row r="38" spans="1:35" x14ac:dyDescent="0.2">
      <c r="A38" s="6"/>
      <c r="B38" s="63"/>
      <c r="C38" t="s">
        <v>268</v>
      </c>
      <c r="D38" s="51" t="s">
        <v>16</v>
      </c>
      <c r="E38" s="54">
        <v>1480</v>
      </c>
      <c r="F38" s="51" t="s">
        <v>16</v>
      </c>
      <c r="G38" s="51">
        <v>0</v>
      </c>
      <c r="I38" s="7"/>
      <c r="J38" s="7"/>
      <c r="K38" s="8"/>
      <c r="L38" s="7"/>
      <c r="M38" s="40" t="s">
        <v>240</v>
      </c>
      <c r="N38" s="12">
        <f>N31</f>
        <v>1136</v>
      </c>
      <c r="O38" s="7"/>
      <c r="P38" s="7"/>
      <c r="Q38" s="8"/>
      <c r="R38" s="6"/>
      <c r="S38" s="7"/>
      <c r="T38" s="7"/>
      <c r="U38" s="7"/>
      <c r="V38" s="7"/>
      <c r="W38" s="7"/>
      <c r="X38" s="7"/>
      <c r="Y38" s="7"/>
      <c r="Z38" s="8"/>
      <c r="AB38" s="7"/>
      <c r="AC38" s="34"/>
      <c r="AD38" s="34"/>
      <c r="AF38" s="7"/>
      <c r="AG38" s="7"/>
      <c r="AH38" s="7"/>
      <c r="AI38" s="8"/>
    </row>
    <row r="39" spans="1:35" ht="16" customHeight="1" x14ac:dyDescent="0.2">
      <c r="A39" s="6"/>
      <c r="B39" s="63"/>
      <c r="C39" t="s">
        <v>217</v>
      </c>
      <c r="D39" s="51" t="s">
        <v>16</v>
      </c>
      <c r="E39" s="54">
        <v>1600</v>
      </c>
      <c r="F39" s="51" t="s">
        <v>16</v>
      </c>
      <c r="G39" s="51">
        <v>1.4E-2</v>
      </c>
      <c r="I39" s="7"/>
      <c r="J39" s="7"/>
      <c r="K39" s="8"/>
      <c r="L39" s="23"/>
      <c r="M39" s="9"/>
      <c r="N39" s="9"/>
      <c r="O39" s="9"/>
      <c r="P39" s="9"/>
      <c r="Q39" s="10"/>
      <c r="R39" s="6"/>
      <c r="S39" s="7"/>
      <c r="T39" s="7"/>
      <c r="U39" s="7"/>
      <c r="V39" s="7"/>
      <c r="W39" s="7"/>
      <c r="X39" s="7"/>
      <c r="Y39" s="7"/>
      <c r="Z39" s="8"/>
      <c r="AA39" s="21" t="s">
        <v>186</v>
      </c>
      <c r="AB39" s="34">
        <v>480</v>
      </c>
      <c r="AC39" s="35" t="s">
        <v>225</v>
      </c>
      <c r="AD39" s="7"/>
      <c r="AE39" s="7"/>
      <c r="AF39" s="7"/>
      <c r="AG39" s="7"/>
      <c r="AH39" s="7"/>
      <c r="AI39" s="8"/>
    </row>
    <row r="40" spans="1:35" x14ac:dyDescent="0.2">
      <c r="A40" s="6"/>
      <c r="B40" s="63" t="s">
        <v>21</v>
      </c>
      <c r="C40" t="s">
        <v>14</v>
      </c>
      <c r="D40" s="51" t="s">
        <v>16</v>
      </c>
      <c r="E40" s="54">
        <v>2370</v>
      </c>
      <c r="F40" s="51" t="s">
        <v>16</v>
      </c>
      <c r="G40" s="51">
        <v>1.4999999999999999E-2</v>
      </c>
      <c r="I40" s="7"/>
      <c r="J40" s="7"/>
      <c r="K40" s="8"/>
      <c r="L40" s="7"/>
      <c r="M40" s="7"/>
      <c r="N40" s="7"/>
      <c r="O40" s="7"/>
      <c r="P40" s="7"/>
      <c r="Q40" s="8"/>
      <c r="R40" s="26"/>
      <c r="S40" s="4"/>
      <c r="T40" s="4"/>
      <c r="U40" s="4"/>
      <c r="V40" s="5"/>
      <c r="W40" s="4"/>
      <c r="X40" s="4"/>
      <c r="Y40" s="4"/>
      <c r="Z40" s="5"/>
      <c r="AA40" s="21" t="s">
        <v>223</v>
      </c>
      <c r="AB40" s="7">
        <v>241</v>
      </c>
      <c r="AC40" s="7" t="s">
        <v>224</v>
      </c>
      <c r="AD40" s="7"/>
      <c r="AE40" s="7"/>
      <c r="AF40" s="7"/>
      <c r="AG40" s="7"/>
      <c r="AH40" s="7"/>
      <c r="AI40" s="8"/>
    </row>
    <row r="41" spans="1:35" ht="19" x14ac:dyDescent="0.25">
      <c r="A41" s="6"/>
      <c r="B41" s="63"/>
      <c r="C41" t="s">
        <v>15</v>
      </c>
      <c r="D41" s="51" t="s">
        <v>16</v>
      </c>
      <c r="E41" s="54">
        <v>890</v>
      </c>
      <c r="F41" s="51" t="s">
        <v>16</v>
      </c>
      <c r="G41" s="51">
        <v>1.6E-2</v>
      </c>
      <c r="I41" s="7"/>
      <c r="J41" s="7"/>
      <c r="K41" s="8"/>
      <c r="L41" s="24" t="s">
        <v>180</v>
      </c>
      <c r="M41" s="7"/>
      <c r="N41" s="7"/>
      <c r="O41" s="7"/>
      <c r="P41" s="7"/>
      <c r="Q41" s="8"/>
      <c r="R41" s="37" t="s">
        <v>188</v>
      </c>
      <c r="S41" s="7"/>
      <c r="T41" s="7"/>
      <c r="U41" s="7"/>
      <c r="V41" s="8"/>
      <c r="Z41" s="8"/>
      <c r="AA41" s="6"/>
      <c r="AB41" s="7"/>
      <c r="AC41" s="7"/>
      <c r="AD41" s="7"/>
      <c r="AE41" s="7"/>
      <c r="AF41" s="7"/>
      <c r="AG41" s="7"/>
      <c r="AH41" s="7"/>
      <c r="AI41" s="8"/>
    </row>
    <row r="42" spans="1:35" x14ac:dyDescent="0.2">
      <c r="A42" s="6"/>
      <c r="B42" s="63"/>
      <c r="C42" t="s">
        <v>279</v>
      </c>
      <c r="D42" s="51" t="s">
        <v>16</v>
      </c>
      <c r="E42" s="54">
        <v>1201</v>
      </c>
      <c r="F42" s="51" t="s">
        <v>16</v>
      </c>
      <c r="G42" s="51">
        <v>3.2000000000000001E-2</v>
      </c>
      <c r="H42" t="s">
        <v>171</v>
      </c>
      <c r="I42" s="7"/>
      <c r="J42" s="7"/>
      <c r="K42" s="8"/>
      <c r="L42" s="7"/>
      <c r="M42" s="12" t="s">
        <v>86</v>
      </c>
      <c r="N42" s="12">
        <v>12.9</v>
      </c>
      <c r="O42" s="32" t="s">
        <v>181</v>
      </c>
      <c r="P42" s="7"/>
      <c r="Q42" s="8"/>
      <c r="R42" s="52"/>
      <c r="S42" s="52" t="s">
        <v>193</v>
      </c>
      <c r="T42" s="28" t="s">
        <v>194</v>
      </c>
      <c r="U42" s="7"/>
      <c r="V42" s="8"/>
      <c r="Z42" s="8"/>
      <c r="AA42" s="6"/>
      <c r="AB42" s="7"/>
      <c r="AC42" s="7"/>
      <c r="AD42" s="7"/>
      <c r="AE42" s="7"/>
      <c r="AF42" s="7"/>
      <c r="AG42" s="7"/>
      <c r="AH42" s="7"/>
      <c r="AI42" s="8"/>
    </row>
    <row r="43" spans="1:35" x14ac:dyDescent="0.2">
      <c r="A43" s="6"/>
      <c r="B43" s="63"/>
      <c r="C43" t="s">
        <v>280</v>
      </c>
      <c r="D43" s="51" t="s">
        <v>16</v>
      </c>
      <c r="E43" s="54">
        <v>830</v>
      </c>
      <c r="F43" s="51" t="s">
        <v>16</v>
      </c>
      <c r="G43" s="51">
        <v>0.06</v>
      </c>
      <c r="I43" s="7"/>
      <c r="J43" s="7"/>
      <c r="K43" s="8"/>
      <c r="L43" s="7"/>
      <c r="M43" s="12" t="s">
        <v>85</v>
      </c>
      <c r="N43" s="12">
        <v>1.29</v>
      </c>
      <c r="O43" s="7"/>
      <c r="P43" s="7"/>
      <c r="Q43" s="8"/>
      <c r="R43" s="38" t="s">
        <v>189</v>
      </c>
      <c r="S43" s="28" t="s">
        <v>190</v>
      </c>
      <c r="T43" s="28" t="s">
        <v>195</v>
      </c>
      <c r="U43" s="7"/>
      <c r="V43" s="8"/>
      <c r="Z43" s="8"/>
      <c r="AA43" s="6"/>
      <c r="AB43" s="7"/>
      <c r="AC43" s="7"/>
      <c r="AD43" s="7"/>
      <c r="AE43" s="7"/>
      <c r="AF43" s="7"/>
      <c r="AG43" s="7"/>
      <c r="AH43" s="7"/>
      <c r="AI43" s="8"/>
    </row>
    <row r="44" spans="1:35" x14ac:dyDescent="0.2">
      <c r="A44" s="6"/>
      <c r="F44" s="29" t="s">
        <v>208</v>
      </c>
      <c r="G44" s="42">
        <f>SUM(G25:G28)</f>
        <v>0.76200000000000001</v>
      </c>
      <c r="I44" s="7"/>
      <c r="J44" s="7"/>
      <c r="K44" s="8"/>
      <c r="L44" s="7"/>
      <c r="M44" s="12" t="s">
        <v>79</v>
      </c>
      <c r="N44" s="12">
        <v>20</v>
      </c>
      <c r="O44" s="7"/>
      <c r="P44" s="7"/>
      <c r="Q44" s="8"/>
      <c r="R44" s="38" t="s">
        <v>191</v>
      </c>
      <c r="S44" s="28" t="s">
        <v>192</v>
      </c>
      <c r="T44" s="28" t="s">
        <v>196</v>
      </c>
      <c r="U44" s="7"/>
      <c r="V44" s="8"/>
      <c r="Z44" s="8"/>
      <c r="AA44" s="6"/>
      <c r="AB44" s="7"/>
      <c r="AC44" s="7"/>
      <c r="AD44" s="7"/>
      <c r="AE44" s="7"/>
      <c r="AF44" s="7"/>
      <c r="AG44" s="7"/>
      <c r="AH44" s="7"/>
      <c r="AI44" s="8"/>
    </row>
    <row r="45" spans="1:35" x14ac:dyDescent="0.2">
      <c r="A45" s="23"/>
      <c r="B45" s="9"/>
      <c r="C45" s="9"/>
      <c r="D45" s="9"/>
      <c r="E45" s="9"/>
      <c r="F45" s="9"/>
      <c r="G45" s="9"/>
      <c r="H45" s="9"/>
      <c r="I45" s="9"/>
      <c r="J45" s="9"/>
      <c r="K45" s="10"/>
      <c r="L45" s="9"/>
      <c r="M45" s="9"/>
      <c r="N45" s="9"/>
      <c r="O45" s="9"/>
      <c r="P45" s="9"/>
      <c r="Q45" s="10"/>
      <c r="R45" s="23"/>
      <c r="S45" s="9"/>
      <c r="T45" s="9"/>
      <c r="U45" s="9"/>
      <c r="V45" s="10"/>
      <c r="W45" s="9"/>
      <c r="X45" s="9"/>
      <c r="Y45" s="9"/>
      <c r="Z45" s="10"/>
      <c r="AA45" s="23"/>
      <c r="AB45" s="9"/>
      <c r="AC45" s="9"/>
      <c r="AD45" s="9"/>
      <c r="AE45" s="9"/>
      <c r="AF45" s="9"/>
      <c r="AG45" s="9"/>
      <c r="AH45" s="9"/>
      <c r="AI45" s="10"/>
    </row>
    <row r="46" spans="1:35" x14ac:dyDescent="0.2">
      <c r="K46" s="5"/>
      <c r="Q46" s="5"/>
      <c r="V46" s="5"/>
      <c r="Z46" s="5"/>
      <c r="AA46" s="26"/>
      <c r="AB46" s="4"/>
      <c r="AC46" s="4"/>
      <c r="AD46" s="4"/>
      <c r="AE46" s="4"/>
      <c r="AF46" s="4"/>
      <c r="AG46" s="4"/>
      <c r="AH46" s="4"/>
      <c r="AI46" s="5"/>
    </row>
    <row r="47" spans="1:35" ht="19" x14ac:dyDescent="0.25">
      <c r="A47" s="1" t="s">
        <v>173</v>
      </c>
      <c r="K47" s="8"/>
      <c r="L47" s="1" t="s">
        <v>175</v>
      </c>
      <c r="Q47" s="8"/>
      <c r="R47" s="1" t="s">
        <v>182</v>
      </c>
      <c r="T47" s="29" t="s">
        <v>197</v>
      </c>
      <c r="U47" s="3">
        <f>SUM(T58,T70,T82)</f>
        <v>85.199999999999989</v>
      </c>
      <c r="V47" s="8"/>
      <c r="W47" s="1" t="s">
        <v>75</v>
      </c>
      <c r="Z47" s="8"/>
      <c r="AA47" s="44" t="s">
        <v>185</v>
      </c>
      <c r="AB47" s="7"/>
      <c r="AC47" s="7"/>
      <c r="AD47" s="7"/>
      <c r="AE47" s="7"/>
      <c r="AF47" s="7"/>
      <c r="AG47" s="7"/>
      <c r="AH47" s="7"/>
      <c r="AI47" s="8"/>
    </row>
    <row r="48" spans="1:35" x14ac:dyDescent="0.2">
      <c r="B48" s="3" t="s">
        <v>5</v>
      </c>
      <c r="D48" s="29" t="s">
        <v>174</v>
      </c>
      <c r="E48" s="3">
        <f>SUM(D54,G50)</f>
        <v>112.91243038561086</v>
      </c>
      <c r="K48" s="8"/>
      <c r="L48" s="29" t="s">
        <v>66</v>
      </c>
      <c r="Q48" s="8"/>
      <c r="R48" s="3" t="s">
        <v>78</v>
      </c>
      <c r="V48" s="8"/>
      <c r="X48" t="s">
        <v>219</v>
      </c>
      <c r="Y48">
        <f>(100000/19422.03)*100</f>
        <v>514.87923764920561</v>
      </c>
      <c r="Z48" s="8" t="s">
        <v>287</v>
      </c>
      <c r="AA48" s="6"/>
      <c r="AB48" s="7"/>
      <c r="AC48" s="7"/>
      <c r="AD48" s="7"/>
      <c r="AE48" s="7"/>
      <c r="AF48" s="7"/>
      <c r="AG48" s="7"/>
      <c r="AH48" s="7"/>
      <c r="AI48" s="8"/>
    </row>
    <row r="49" spans="1:35" x14ac:dyDescent="0.2">
      <c r="C49" t="s">
        <v>22</v>
      </c>
      <c r="D49">
        <f>N25*G25</f>
        <v>303680</v>
      </c>
      <c r="F49" t="s">
        <v>206</v>
      </c>
      <c r="G49">
        <v>0.3</v>
      </c>
      <c r="K49" s="8"/>
      <c r="M49" t="s">
        <v>67</v>
      </c>
      <c r="N49">
        <f>N25*G34</f>
        <v>9490</v>
      </c>
      <c r="Q49" s="8"/>
      <c r="V49" s="8"/>
      <c r="X49" t="s">
        <v>76</v>
      </c>
      <c r="Y49">
        <f>Y48/100/100</f>
        <v>5.1487923764920562E-2</v>
      </c>
      <c r="Z49" s="8"/>
      <c r="AA49" s="6"/>
      <c r="AB49" s="12" t="s">
        <v>5</v>
      </c>
      <c r="AC49" s="7"/>
      <c r="AD49" s="7"/>
      <c r="AE49" s="7"/>
      <c r="AF49" s="7"/>
      <c r="AG49" s="7"/>
      <c r="AH49" s="7"/>
      <c r="AI49" s="8"/>
    </row>
    <row r="50" spans="1:35" x14ac:dyDescent="0.2">
      <c r="C50" t="s">
        <v>23</v>
      </c>
      <c r="D50">
        <v>0.02</v>
      </c>
      <c r="E50" s="16" t="s">
        <v>41</v>
      </c>
      <c r="F50" t="s">
        <v>207</v>
      </c>
      <c r="G50" s="18">
        <f>G49*D54</f>
        <v>26.056714704371736</v>
      </c>
      <c r="K50" s="8"/>
      <c r="M50" t="s">
        <v>48</v>
      </c>
      <c r="N50">
        <f>N49/E34</f>
        <v>4.0042194092827001</v>
      </c>
      <c r="Q50" s="8"/>
      <c r="S50" t="s">
        <v>204</v>
      </c>
      <c r="T50">
        <v>8</v>
      </c>
      <c r="U50" t="s">
        <v>286</v>
      </c>
      <c r="V50" s="8"/>
      <c r="X50" t="s">
        <v>77</v>
      </c>
      <c r="Y50">
        <f>1/Y49</f>
        <v>19.422029999999999</v>
      </c>
      <c r="Z50" s="8"/>
      <c r="AA50" s="6"/>
      <c r="AB50" s="7"/>
      <c r="AC50" s="7" t="s">
        <v>119</v>
      </c>
      <c r="AD50" s="13">
        <f>650*10000</f>
        <v>6500000</v>
      </c>
      <c r="AE50" s="7"/>
      <c r="AF50" s="7"/>
      <c r="AG50" s="7"/>
      <c r="AH50" s="7"/>
      <c r="AI50" s="8"/>
    </row>
    <row r="51" spans="1:35" x14ac:dyDescent="0.2">
      <c r="C51" t="s">
        <v>24</v>
      </c>
      <c r="D51">
        <v>0.3</v>
      </c>
      <c r="K51" s="8"/>
      <c r="M51" t="s">
        <v>68</v>
      </c>
      <c r="N51">
        <f>N50/X25/T24</f>
        <v>0.40082276369196201</v>
      </c>
      <c r="Q51" s="8"/>
      <c r="S51" t="s">
        <v>205</v>
      </c>
      <c r="T51">
        <f>T50*1000</f>
        <v>8000</v>
      </c>
      <c r="U51" t="s">
        <v>178</v>
      </c>
      <c r="V51" s="8"/>
      <c r="X51" t="s">
        <v>221</v>
      </c>
      <c r="Y51">
        <f>SUM(G40:G42)</f>
        <v>6.3E-2</v>
      </c>
      <c r="Z51" s="8"/>
      <c r="AA51" s="6"/>
      <c r="AB51" s="7"/>
      <c r="AC51" s="7" t="s">
        <v>111</v>
      </c>
      <c r="AD51">
        <v>0.79600000000000004</v>
      </c>
      <c r="AE51" s="7" t="s">
        <v>178</v>
      </c>
      <c r="AF51" s="7"/>
      <c r="AG51" s="7"/>
      <c r="AH51" s="7"/>
      <c r="AI51" s="8"/>
    </row>
    <row r="52" spans="1:35" x14ac:dyDescent="0.2">
      <c r="C52" t="s">
        <v>25</v>
      </c>
      <c r="D52" s="18">
        <f>F25*(1-(SUM(D50:D51)))</f>
        <v>3971879.9999999995</v>
      </c>
      <c r="K52" s="8"/>
      <c r="M52" t="s">
        <v>69</v>
      </c>
      <c r="N52">
        <f>(70*(N51*T24)^0.75)*365</f>
        <v>223622.02374085906</v>
      </c>
      <c r="Q52" s="8"/>
      <c r="S52" t="s">
        <v>203</v>
      </c>
      <c r="T52">
        <f>T51/N44</f>
        <v>400</v>
      </c>
      <c r="V52" s="8"/>
      <c r="X52" s="3" t="s">
        <v>220</v>
      </c>
      <c r="Y52" s="3">
        <f>Y51*Y50*N38</f>
        <v>1389.99584304</v>
      </c>
      <c r="Z52" s="8"/>
      <c r="AA52" s="6"/>
      <c r="AB52" s="7"/>
      <c r="AC52" s="7" t="s">
        <v>112</v>
      </c>
      <c r="AD52">
        <v>0.1</v>
      </c>
      <c r="AE52" s="7" t="s">
        <v>113</v>
      </c>
      <c r="AF52" s="7"/>
      <c r="AG52" s="7"/>
      <c r="AH52" s="7"/>
      <c r="AI52" s="8"/>
    </row>
    <row r="53" spans="1:35" x14ac:dyDescent="0.2">
      <c r="C53" t="s">
        <v>26</v>
      </c>
      <c r="D53" s="18">
        <f>D49/D52</f>
        <v>7.6457496198273869E-2</v>
      </c>
      <c r="K53" s="8"/>
      <c r="M53" t="s">
        <v>124</v>
      </c>
      <c r="N53">
        <v>0.9</v>
      </c>
      <c r="O53" s="60">
        <f>SUM(N53:N54)</f>
        <v>1</v>
      </c>
      <c r="Q53" s="8"/>
      <c r="S53" t="s">
        <v>202</v>
      </c>
      <c r="T53">
        <v>551</v>
      </c>
      <c r="V53" s="8"/>
      <c r="Z53" s="8"/>
      <c r="AA53" s="6"/>
      <c r="AB53" s="7"/>
      <c r="AC53" s="7" t="s">
        <v>198</v>
      </c>
      <c r="AD53">
        <f>(AD50)*AD51*(1-AD52)/0.45</f>
        <v>10348000</v>
      </c>
      <c r="AE53" s="7" t="s">
        <v>199</v>
      </c>
      <c r="AF53" s="7"/>
      <c r="AG53" s="7"/>
      <c r="AH53" s="7"/>
      <c r="AI53" s="8"/>
    </row>
    <row r="54" spans="1:35" x14ac:dyDescent="0.2">
      <c r="C54" t="s">
        <v>27</v>
      </c>
      <c r="D54" s="18">
        <f>D53*N38</f>
        <v>86.855715681239118</v>
      </c>
      <c r="K54" s="8"/>
      <c r="M54" t="s">
        <v>70</v>
      </c>
      <c r="N54">
        <v>0.1</v>
      </c>
      <c r="O54" s="60"/>
      <c r="Q54" s="8"/>
      <c r="S54" t="s">
        <v>80</v>
      </c>
      <c r="T54">
        <f>T53*N44/1000</f>
        <v>11.02</v>
      </c>
      <c r="V54" s="8"/>
      <c r="W54" s="23"/>
      <c r="X54" s="9"/>
      <c r="Y54" s="9"/>
      <c r="Z54" s="10"/>
      <c r="AA54" s="6"/>
      <c r="AB54" s="7"/>
      <c r="AC54" s="7" t="s">
        <v>114</v>
      </c>
      <c r="AD54">
        <v>0.23</v>
      </c>
      <c r="AE54" s="7"/>
      <c r="AF54" s="7"/>
      <c r="AG54" s="7"/>
      <c r="AH54" s="7"/>
      <c r="AI54" s="8"/>
    </row>
    <row r="55" spans="1:35" x14ac:dyDescent="0.2">
      <c r="A55" s="9"/>
      <c r="B55" s="9"/>
      <c r="C55" s="9"/>
      <c r="D55" s="9"/>
      <c r="E55" s="9"/>
      <c r="F55" s="9"/>
      <c r="G55" s="9"/>
      <c r="H55" s="9"/>
      <c r="I55" s="9"/>
      <c r="J55" s="9"/>
      <c r="K55" s="10"/>
      <c r="Q55" s="8"/>
      <c r="S55" t="s">
        <v>81</v>
      </c>
      <c r="T55">
        <f>AVERAGE(T52,T53)</f>
        <v>475.5</v>
      </c>
      <c r="V55" s="8"/>
      <c r="Z55" s="8"/>
      <c r="AA55" s="6"/>
      <c r="AB55" s="7"/>
      <c r="AC55" s="7" t="s">
        <v>200</v>
      </c>
      <c r="AD55" s="17">
        <f>AD53*(1-AD54)*(D53)</f>
        <v>609210.27140799828</v>
      </c>
      <c r="AE55" s="7"/>
      <c r="AF55" s="7"/>
      <c r="AG55" s="7"/>
      <c r="AH55" s="7"/>
      <c r="AI55" s="8"/>
    </row>
    <row r="56" spans="1:35" x14ac:dyDescent="0.2">
      <c r="K56" s="8"/>
      <c r="M56" t="s">
        <v>71</v>
      </c>
      <c r="N56">
        <f>(N54*N52)/W33</f>
        <v>5.9848601093991878E-2</v>
      </c>
      <c r="Q56" s="8"/>
      <c r="S56" t="s">
        <v>82</v>
      </c>
      <c r="T56">
        <f>T55*N38</f>
        <v>540168</v>
      </c>
      <c r="V56" s="8"/>
      <c r="Z56" s="8"/>
      <c r="AA56" s="6"/>
      <c r="AB56" s="7"/>
      <c r="AC56" s="7" t="s">
        <v>201</v>
      </c>
      <c r="AD56">
        <f>AD55*N31</f>
        <v>692062868.31948602</v>
      </c>
      <c r="AE56" s="7"/>
      <c r="AF56" s="7"/>
      <c r="AG56" s="7"/>
      <c r="AH56" s="7"/>
      <c r="AI56" s="8"/>
    </row>
    <row r="57" spans="1:35" ht="19" x14ac:dyDescent="0.25">
      <c r="B57" s="3" t="s">
        <v>107</v>
      </c>
      <c r="D57" s="3" t="s">
        <v>43</v>
      </c>
      <c r="E57" s="53">
        <f>D64+(D72-G69)+(D80-G77)+G64+(D88+G83)</f>
        <v>139.78581309941521</v>
      </c>
      <c r="K57" s="8"/>
      <c r="M57" t="s">
        <v>72</v>
      </c>
      <c r="N57">
        <f>SUM(N55:N56)</f>
        <v>5.9848601093991878E-2</v>
      </c>
      <c r="Q57" s="8"/>
      <c r="S57" t="s">
        <v>83</v>
      </c>
      <c r="T57">
        <f>T56/N43</f>
        <v>418734.8837209302</v>
      </c>
      <c r="V57" s="8"/>
      <c r="W57" s="27"/>
      <c r="Z57" s="8"/>
      <c r="AA57" s="6"/>
      <c r="AB57" s="7"/>
      <c r="AC57" s="7"/>
      <c r="AD57" s="7"/>
      <c r="AE57" s="7"/>
      <c r="AF57" s="7"/>
      <c r="AG57" s="7"/>
      <c r="AH57" s="7"/>
      <c r="AI57" s="8"/>
    </row>
    <row r="58" spans="1:35" x14ac:dyDescent="0.2">
      <c r="C58" s="3" t="s">
        <v>318</v>
      </c>
      <c r="K58" s="8"/>
      <c r="M58" s="3" t="s">
        <v>73</v>
      </c>
      <c r="N58" s="3">
        <f>N57*N31</f>
        <v>67.98801084277477</v>
      </c>
      <c r="Q58" s="8"/>
      <c r="S58" t="s">
        <v>84</v>
      </c>
      <c r="T58">
        <f>T57/10000</f>
        <v>41.873488372093021</v>
      </c>
      <c r="V58" s="8"/>
      <c r="X58" s="7"/>
      <c r="Y58" s="7"/>
      <c r="Z58" s="8"/>
      <c r="AA58" s="6"/>
      <c r="AB58" s="12" t="s">
        <v>116</v>
      </c>
      <c r="AC58" s="7"/>
      <c r="AD58" s="7"/>
      <c r="AE58" s="7"/>
      <c r="AF58" s="7"/>
      <c r="AG58" s="7"/>
      <c r="AH58" s="7"/>
      <c r="AI58" s="8"/>
    </row>
    <row r="59" spans="1:35" x14ac:dyDescent="0.2">
      <c r="C59" t="s">
        <v>22</v>
      </c>
      <c r="D59">
        <f>G28*N25</f>
        <v>199290</v>
      </c>
      <c r="F59" t="s">
        <v>210</v>
      </c>
      <c r="K59" s="8"/>
      <c r="M59" s="3" t="s">
        <v>74</v>
      </c>
      <c r="N59" s="3">
        <f>N51*N31</f>
        <v>455.33465955406882</v>
      </c>
      <c r="Q59" s="8"/>
      <c r="V59" s="8"/>
      <c r="X59" s="39"/>
      <c r="Y59" s="7"/>
      <c r="Z59" s="8"/>
      <c r="AA59" s="6"/>
      <c r="AB59" s="7"/>
      <c r="AC59" s="7" t="s">
        <v>110</v>
      </c>
      <c r="AD59" s="13">
        <f>650*10000</f>
        <v>6500000</v>
      </c>
      <c r="AE59" s="7"/>
      <c r="AF59" s="7"/>
      <c r="AH59" s="7"/>
      <c r="AI59" s="8"/>
    </row>
    <row r="60" spans="1:35" x14ac:dyDescent="0.2">
      <c r="C60" t="s">
        <v>23</v>
      </c>
      <c r="D60">
        <v>0.1</v>
      </c>
      <c r="F60" t="s">
        <v>42</v>
      </c>
      <c r="G60">
        <v>0.1</v>
      </c>
      <c r="K60" s="8"/>
      <c r="M60" s="3" t="s">
        <v>123</v>
      </c>
      <c r="N60" s="3">
        <f>N59*(N52/N51)</f>
        <v>254034618.96961585</v>
      </c>
      <c r="Q60" s="8"/>
      <c r="V60" s="8"/>
      <c r="W60" s="7"/>
      <c r="X60" s="7"/>
      <c r="Y60" s="7"/>
      <c r="Z60" s="8"/>
      <c r="AA60" s="6"/>
      <c r="AB60" s="7"/>
      <c r="AC60" s="7" t="s">
        <v>111</v>
      </c>
      <c r="AD60" s="7">
        <v>0.6</v>
      </c>
      <c r="AE60" t="s">
        <v>231</v>
      </c>
      <c r="AF60" s="7"/>
      <c r="AG60" s="7"/>
      <c r="AH60" s="7"/>
      <c r="AI60" s="8"/>
    </row>
    <row r="61" spans="1:35" x14ac:dyDescent="0.2">
      <c r="C61" t="s">
        <v>24</v>
      </c>
      <c r="D61">
        <v>0.3</v>
      </c>
      <c r="F61" t="s">
        <v>6</v>
      </c>
      <c r="G61">
        <v>0</v>
      </c>
      <c r="K61" s="8"/>
      <c r="Q61" s="8"/>
      <c r="R61" s="3" t="s">
        <v>94</v>
      </c>
      <c r="V61" s="8"/>
      <c r="X61" s="55"/>
      <c r="Y61" s="45"/>
      <c r="Z61" s="8"/>
      <c r="AA61" s="6"/>
      <c r="AB61" s="7"/>
      <c r="AC61" s="7" t="s">
        <v>112</v>
      </c>
      <c r="AD61" s="7">
        <v>0.1</v>
      </c>
      <c r="AF61" s="7"/>
      <c r="AG61" s="7"/>
      <c r="AH61" s="7"/>
      <c r="AI61" s="8"/>
    </row>
    <row r="62" spans="1:35" x14ac:dyDescent="0.2">
      <c r="C62" t="s">
        <v>25</v>
      </c>
      <c r="D62" s="18">
        <f>F28*(1-(D60+D61))</f>
        <v>2850000</v>
      </c>
      <c r="F62" t="s">
        <v>247</v>
      </c>
      <c r="G62">
        <v>0</v>
      </c>
      <c r="K62" s="8"/>
      <c r="Q62" s="8"/>
      <c r="S62" t="s">
        <v>95</v>
      </c>
      <c r="T62">
        <v>30</v>
      </c>
      <c r="U62" s="16" t="s">
        <v>178</v>
      </c>
      <c r="V62" s="8"/>
      <c r="X62" s="40"/>
      <c r="Y62" s="3"/>
      <c r="Z62" s="8"/>
      <c r="AA62" s="6"/>
      <c r="AB62" s="7"/>
      <c r="AC62" s="7" t="s">
        <v>118</v>
      </c>
      <c r="AD62">
        <f>(AD59)*AD60*(1-AD61)/0.45</f>
        <v>7800000</v>
      </c>
      <c r="AF62" s="7"/>
      <c r="AG62" s="7"/>
      <c r="AH62" s="7"/>
      <c r="AI62" s="8"/>
    </row>
    <row r="63" spans="1:35" x14ac:dyDescent="0.2">
      <c r="C63" t="s">
        <v>26</v>
      </c>
      <c r="D63" s="18">
        <f>D59/D62</f>
        <v>6.9926315789473684E-2</v>
      </c>
      <c r="F63" t="s">
        <v>281</v>
      </c>
      <c r="G63">
        <v>0.1</v>
      </c>
      <c r="K63" s="8"/>
      <c r="Q63" s="8"/>
      <c r="S63" t="s">
        <v>96</v>
      </c>
      <c r="T63">
        <v>1.5</v>
      </c>
      <c r="U63" s="45" t="s">
        <v>250</v>
      </c>
      <c r="V63" s="8"/>
      <c r="X63" s="11"/>
      <c r="Z63" s="8"/>
      <c r="AA63" s="6"/>
      <c r="AB63" s="7"/>
      <c r="AC63" s="7" t="s">
        <v>114</v>
      </c>
      <c r="AD63" s="7">
        <v>0.5</v>
      </c>
      <c r="AE63" t="s">
        <v>232</v>
      </c>
      <c r="AF63" s="7"/>
      <c r="AG63" s="7"/>
      <c r="AH63" s="7"/>
      <c r="AI63" s="8"/>
    </row>
    <row r="64" spans="1:35" x14ac:dyDescent="0.2">
      <c r="C64" t="s">
        <v>27</v>
      </c>
      <c r="D64" s="18">
        <f>D63*N38</f>
        <v>79.4362947368421</v>
      </c>
      <c r="F64" t="s">
        <v>207</v>
      </c>
      <c r="G64" s="18">
        <f>G60*D64</f>
        <v>7.9436294736842106</v>
      </c>
      <c r="K64" s="8"/>
      <c r="L64" s="29" t="s">
        <v>176</v>
      </c>
      <c r="Q64" s="8"/>
      <c r="S64" t="s">
        <v>97</v>
      </c>
      <c r="T64">
        <f>T63*T62</f>
        <v>45</v>
      </c>
      <c r="U64" s="16"/>
      <c r="V64" s="8"/>
      <c r="Z64" s="8"/>
      <c r="AA64" s="6"/>
      <c r="AB64" s="7"/>
      <c r="AC64" s="7" t="s">
        <v>115</v>
      </c>
      <c r="AD64" s="17">
        <f>AD62*(1-AD63)*D63</f>
        <v>272712.63157894736</v>
      </c>
      <c r="AE64" s="7"/>
      <c r="AF64" s="7"/>
      <c r="AG64" s="7"/>
      <c r="AH64" s="7"/>
      <c r="AI64" s="8"/>
    </row>
    <row r="65" spans="3:35" x14ac:dyDescent="0.2">
      <c r="K65" s="8"/>
      <c r="L65" s="30"/>
      <c r="M65" t="s">
        <v>51</v>
      </c>
      <c r="N65">
        <f>N25*G37</f>
        <v>949</v>
      </c>
      <c r="Q65" s="8"/>
      <c r="S65" t="s">
        <v>98</v>
      </c>
      <c r="T65">
        <v>2</v>
      </c>
      <c r="U65" s="16" t="s">
        <v>178</v>
      </c>
      <c r="V65" s="8"/>
      <c r="Z65" s="8"/>
      <c r="AA65" s="6"/>
      <c r="AB65" s="7"/>
      <c r="AC65" s="7" t="s">
        <v>117</v>
      </c>
      <c r="AD65" s="7">
        <f>AD64*N31</f>
        <v>309801549.47368419</v>
      </c>
      <c r="AE65" s="7"/>
      <c r="AF65" s="7"/>
      <c r="AG65" s="7"/>
      <c r="AH65" s="7"/>
      <c r="AI65" s="8"/>
    </row>
    <row r="66" spans="3:35" x14ac:dyDescent="0.2">
      <c r="C66" s="3" t="s">
        <v>312</v>
      </c>
      <c r="K66" s="8"/>
      <c r="M66" t="s">
        <v>48</v>
      </c>
      <c r="N66">
        <f>N65/E37</f>
        <v>0.70820895522388061</v>
      </c>
      <c r="Q66" s="8"/>
      <c r="S66" t="s">
        <v>89</v>
      </c>
      <c r="T66">
        <v>4</v>
      </c>
      <c r="V66" s="8"/>
      <c r="Z66" s="8"/>
      <c r="AA66" s="6"/>
      <c r="AB66" s="7"/>
      <c r="AC66" s="7"/>
      <c r="AD66" s="7"/>
      <c r="AE66" s="7"/>
      <c r="AF66" s="7"/>
      <c r="AG66" s="7"/>
      <c r="AH66" s="7"/>
      <c r="AI66" s="8"/>
    </row>
    <row r="67" spans="3:35" x14ac:dyDescent="0.2">
      <c r="C67" t="s">
        <v>22</v>
      </c>
      <c r="D67">
        <f>G27*N25</f>
        <v>20878</v>
      </c>
      <c r="F67" s="59" t="s">
        <v>245</v>
      </c>
      <c r="G67" s="62">
        <v>1</v>
      </c>
      <c r="K67" s="8"/>
      <c r="M67" t="s">
        <v>54</v>
      </c>
      <c r="N67">
        <f>N66/X24/T25</f>
        <v>2.2069734593883398E-2</v>
      </c>
      <c r="Q67" s="8"/>
      <c r="S67" t="s">
        <v>99</v>
      </c>
      <c r="T67">
        <f>T66*T65*T64</f>
        <v>360</v>
      </c>
      <c r="V67" s="8"/>
      <c r="Z67" s="8"/>
      <c r="AA67" s="6"/>
      <c r="AB67" s="12" t="s">
        <v>120</v>
      </c>
      <c r="AC67" s="7"/>
      <c r="AD67" s="7"/>
      <c r="AE67" s="7"/>
      <c r="AF67" s="7"/>
      <c r="AG67" s="7"/>
      <c r="AH67" s="7"/>
      <c r="AI67" s="8"/>
    </row>
    <row r="68" spans="3:35" x14ac:dyDescent="0.2">
      <c r="C68" t="s">
        <v>23</v>
      </c>
      <c r="D68">
        <v>0.1</v>
      </c>
      <c r="F68" s="59"/>
      <c r="G68" s="62"/>
      <c r="K68" s="8"/>
      <c r="M68" t="s">
        <v>55</v>
      </c>
      <c r="N68">
        <f>(70*(N67*T25)^0.75)*365</f>
        <v>139589.77404714172</v>
      </c>
      <c r="Q68" s="8"/>
      <c r="S68" t="s">
        <v>100</v>
      </c>
      <c r="T68">
        <f>T67*N44/1000</f>
        <v>7.2</v>
      </c>
      <c r="V68" s="8"/>
      <c r="Z68" s="8"/>
      <c r="AA68" s="6"/>
      <c r="AB68" s="7"/>
      <c r="AC68" s="7" t="s">
        <v>110</v>
      </c>
      <c r="AD68" s="13">
        <f>650*10000</f>
        <v>6500000</v>
      </c>
      <c r="AE68" s="7"/>
      <c r="AF68" s="7"/>
      <c r="AG68" s="7" t="s">
        <v>222</v>
      </c>
      <c r="AH68" s="7"/>
      <c r="AI68" s="8"/>
    </row>
    <row r="69" spans="3:35" x14ac:dyDescent="0.2">
      <c r="C69" t="s">
        <v>24</v>
      </c>
      <c r="D69">
        <v>0.3</v>
      </c>
      <c r="F69" s="3" t="s">
        <v>246</v>
      </c>
      <c r="G69" s="3">
        <f>G67*D72</f>
        <v>17.80586186186186</v>
      </c>
      <c r="K69" s="8"/>
      <c r="M69" t="s">
        <v>258</v>
      </c>
      <c r="N69">
        <v>0.6</v>
      </c>
      <c r="O69" s="60">
        <f>SUM(N69:N71)</f>
        <v>1</v>
      </c>
      <c r="P69" t="s">
        <v>241</v>
      </c>
      <c r="Q69" s="8"/>
      <c r="S69" t="s">
        <v>101</v>
      </c>
      <c r="T69">
        <f>T67*N38</f>
        <v>408960</v>
      </c>
      <c r="V69" s="8"/>
      <c r="Z69" s="8"/>
      <c r="AA69" s="6"/>
      <c r="AB69" s="7"/>
      <c r="AC69" s="7" t="s">
        <v>111</v>
      </c>
      <c r="AD69" s="7">
        <v>0.59</v>
      </c>
      <c r="AE69" s="7" t="s">
        <v>226</v>
      </c>
      <c r="AF69" s="7"/>
      <c r="AG69" s="7"/>
      <c r="AH69" s="7"/>
      <c r="AI69" s="8"/>
    </row>
    <row r="70" spans="3:35" x14ac:dyDescent="0.2">
      <c r="C70" t="s">
        <v>25</v>
      </c>
      <c r="D70" s="18">
        <f>F27*(1-SUM(D68:D69))</f>
        <v>1332000</v>
      </c>
      <c r="K70" s="8"/>
      <c r="M70" t="s">
        <v>259</v>
      </c>
      <c r="N70">
        <v>0.1</v>
      </c>
      <c r="O70" s="60"/>
      <c r="Q70" s="8"/>
      <c r="S70" t="s">
        <v>102</v>
      </c>
      <c r="T70">
        <v>0</v>
      </c>
      <c r="U70" t="s">
        <v>209</v>
      </c>
      <c r="V70" s="8"/>
      <c r="Z70" s="8"/>
      <c r="AA70" s="6"/>
      <c r="AB70" s="7"/>
      <c r="AC70" s="7" t="s">
        <v>112</v>
      </c>
      <c r="AD70" s="7">
        <v>0.1</v>
      </c>
      <c r="AE70" s="7"/>
      <c r="AF70" s="7"/>
      <c r="AG70" s="7"/>
      <c r="AH70" s="7"/>
      <c r="AI70" s="8"/>
    </row>
    <row r="71" spans="3:35" x14ac:dyDescent="0.2">
      <c r="C71" t="s">
        <v>26</v>
      </c>
      <c r="D71" s="18">
        <f>D67/D70</f>
        <v>1.5674174174174174E-2</v>
      </c>
      <c r="K71" s="8"/>
      <c r="M71" t="s">
        <v>260</v>
      </c>
      <c r="N71">
        <v>0.3</v>
      </c>
      <c r="O71" s="60"/>
      <c r="Q71" s="8"/>
      <c r="V71" s="8"/>
      <c r="Z71" s="8"/>
      <c r="AA71" s="6"/>
      <c r="AB71" s="7"/>
      <c r="AC71" s="7" t="s">
        <v>118</v>
      </c>
      <c r="AD71">
        <f>(AD68)*AD69*(1-AD70)/0.45</f>
        <v>7670000</v>
      </c>
      <c r="AE71" s="7"/>
      <c r="AF71" s="7"/>
      <c r="AG71" s="7"/>
      <c r="AH71" s="7"/>
      <c r="AI71" s="8"/>
    </row>
    <row r="72" spans="3:35" x14ac:dyDescent="0.2">
      <c r="C72" t="s">
        <v>27</v>
      </c>
      <c r="D72" s="18">
        <f>D71*N38</f>
        <v>17.80586186186186</v>
      </c>
      <c r="K72" s="8"/>
      <c r="M72" t="s">
        <v>49</v>
      </c>
      <c r="N72">
        <f>N69*N68/W31</f>
        <v>8.2402464018383539E-2</v>
      </c>
      <c r="Q72" s="8"/>
      <c r="S72" s="16" t="s">
        <v>183</v>
      </c>
      <c r="V72" s="8"/>
      <c r="Z72" s="8"/>
      <c r="AA72" s="6"/>
      <c r="AB72" s="7"/>
      <c r="AC72" s="7" t="s">
        <v>114</v>
      </c>
      <c r="AD72" s="7">
        <v>0.52</v>
      </c>
      <c r="AE72" s="7" t="s">
        <v>227</v>
      </c>
      <c r="AF72" s="7"/>
      <c r="AG72" s="7"/>
      <c r="AH72" s="7"/>
      <c r="AI72" s="8"/>
    </row>
    <row r="73" spans="3:35" x14ac:dyDescent="0.2">
      <c r="K73" s="8"/>
      <c r="M73" t="s">
        <v>50</v>
      </c>
      <c r="N73">
        <f>N70*N68/W32</f>
        <v>9.2707560634350625E-3</v>
      </c>
      <c r="Q73" s="8"/>
      <c r="V73" s="8"/>
      <c r="Z73" s="8"/>
      <c r="AA73" s="6"/>
      <c r="AB73" s="7"/>
      <c r="AC73" s="7" t="s">
        <v>115</v>
      </c>
      <c r="AD73" s="17">
        <f>AD71*(1-AD72)*D71</f>
        <v>57706.039639639639</v>
      </c>
      <c r="AE73" s="7"/>
      <c r="AF73" s="7"/>
      <c r="AG73" s="7"/>
      <c r="AH73" s="7"/>
      <c r="AI73" s="8"/>
    </row>
    <row r="74" spans="3:35" x14ac:dyDescent="0.2">
      <c r="C74" s="3" t="s">
        <v>9</v>
      </c>
      <c r="F74" s="59" t="s">
        <v>248</v>
      </c>
      <c r="G74" s="60">
        <v>1</v>
      </c>
      <c r="K74" s="8"/>
      <c r="M74" t="s">
        <v>254</v>
      </c>
      <c r="N74">
        <f>SUM(N72:N73)</f>
        <v>9.1673220081818607E-2</v>
      </c>
      <c r="Q74" s="8"/>
      <c r="V74" s="8"/>
      <c r="Z74" s="8"/>
      <c r="AA74" s="6"/>
      <c r="AB74" s="7"/>
      <c r="AC74" s="7" t="s">
        <v>117</v>
      </c>
      <c r="AD74" s="7">
        <f>$N$31*AD73</f>
        <v>65554061.030630633</v>
      </c>
      <c r="AE74" s="7"/>
      <c r="AF74" s="7"/>
      <c r="AG74" s="7"/>
      <c r="AH74" s="7"/>
      <c r="AI74" s="8"/>
    </row>
    <row r="75" spans="3:35" x14ac:dyDescent="0.2">
      <c r="C75" t="s">
        <v>22</v>
      </c>
      <c r="D75">
        <f>G32*N25</f>
        <v>14235</v>
      </c>
      <c r="F75" s="59"/>
      <c r="G75" s="60"/>
      <c r="K75" s="8"/>
      <c r="M75" s="3" t="s">
        <v>255</v>
      </c>
      <c r="N75" s="3">
        <f>N74*N31</f>
        <v>104.14077801294594</v>
      </c>
      <c r="Q75" s="8"/>
      <c r="R75" s="3" t="s">
        <v>184</v>
      </c>
      <c r="V75" s="8"/>
      <c r="Z75" s="8"/>
      <c r="AA75" s="6"/>
      <c r="AB75" s="7"/>
      <c r="AC75" s="7"/>
      <c r="AD75" s="7"/>
      <c r="AE75" s="7"/>
      <c r="AF75" s="7"/>
      <c r="AG75" s="7"/>
      <c r="AH75" s="7"/>
      <c r="AI75" s="8"/>
    </row>
    <row r="76" spans="3:35" x14ac:dyDescent="0.2">
      <c r="C76" t="s">
        <v>23</v>
      </c>
      <c r="D76">
        <v>0</v>
      </c>
      <c r="F76" s="59"/>
      <c r="G76" s="60"/>
      <c r="K76" s="8"/>
      <c r="M76" s="3" t="s">
        <v>256</v>
      </c>
      <c r="N76" s="3">
        <f>N67*N31</f>
        <v>25.07121849865154</v>
      </c>
      <c r="Q76" s="8"/>
      <c r="S76" t="s">
        <v>87</v>
      </c>
      <c r="T76">
        <v>1.5</v>
      </c>
      <c r="U76" s="16" t="s">
        <v>178</v>
      </c>
      <c r="V76" s="8"/>
      <c r="Z76" s="8"/>
      <c r="AA76" s="6"/>
      <c r="AB76" s="12" t="s">
        <v>134</v>
      </c>
      <c r="AC76" s="7"/>
      <c r="AD76" s="7"/>
      <c r="AE76" s="7"/>
      <c r="AF76" s="7"/>
      <c r="AG76" s="7"/>
      <c r="AH76" s="7"/>
      <c r="AI76" s="8"/>
    </row>
    <row r="77" spans="3:35" x14ac:dyDescent="0.2">
      <c r="C77" t="s">
        <v>24</v>
      </c>
      <c r="D77">
        <v>0.3</v>
      </c>
      <c r="F77" t="s">
        <v>249</v>
      </c>
      <c r="G77">
        <f>G74*D80</f>
        <v>4.6954006968641115</v>
      </c>
      <c r="K77" s="8"/>
      <c r="Q77" s="8"/>
      <c r="S77" t="s">
        <v>88</v>
      </c>
      <c r="T77">
        <v>82</v>
      </c>
      <c r="U77" s="16" t="s">
        <v>103</v>
      </c>
      <c r="V77" s="8"/>
      <c r="Z77" s="8"/>
      <c r="AA77" s="6"/>
      <c r="AB77" s="7"/>
      <c r="AC77" s="7" t="s">
        <v>125</v>
      </c>
      <c r="AD77">
        <f>((((40+96)/2)/1.28)/1.331)*0.67</f>
        <v>26.742111194590535</v>
      </c>
      <c r="AE77" s="7"/>
      <c r="AF77" s="7" t="s">
        <v>228</v>
      </c>
      <c r="AG77" s="7"/>
      <c r="AH77" s="7"/>
      <c r="AI77" s="8"/>
    </row>
    <row r="78" spans="3:35" x14ac:dyDescent="0.2">
      <c r="C78" t="s">
        <v>25</v>
      </c>
      <c r="D78" s="18">
        <f>F32*(1-SUM(D76:D77))</f>
        <v>3444000</v>
      </c>
      <c r="K78" s="8"/>
      <c r="M78" s="3" t="s">
        <v>243</v>
      </c>
      <c r="Q78" s="8"/>
      <c r="S78" t="s">
        <v>89</v>
      </c>
      <c r="T78">
        <v>4</v>
      </c>
      <c r="U78" s="16"/>
      <c r="V78" s="8"/>
      <c r="Z78" s="8"/>
      <c r="AA78" s="6"/>
      <c r="AB78" s="7"/>
      <c r="AC78" s="7" t="s">
        <v>126</v>
      </c>
      <c r="AD78">
        <f>((40+96)/2)</f>
        <v>68</v>
      </c>
      <c r="AE78" s="7"/>
      <c r="AF78" s="7" t="s">
        <v>229</v>
      </c>
      <c r="AG78" s="7"/>
      <c r="AH78" s="7"/>
      <c r="AI78" s="8"/>
    </row>
    <row r="79" spans="3:35" x14ac:dyDescent="0.2">
      <c r="C79" t="s">
        <v>26</v>
      </c>
      <c r="D79" s="18">
        <f>D75/D78</f>
        <v>4.1332752613240419E-3</v>
      </c>
      <c r="K79" s="8"/>
      <c r="Q79" s="8"/>
      <c r="S79" t="s">
        <v>90</v>
      </c>
      <c r="T79">
        <f>T76*T77*T78</f>
        <v>492</v>
      </c>
      <c r="U79" s="16"/>
      <c r="V79" s="8"/>
      <c r="Z79" s="8"/>
      <c r="AA79" s="6"/>
      <c r="AB79" s="7"/>
      <c r="AC79" s="7" t="s">
        <v>127</v>
      </c>
      <c r="AD79">
        <f>AD78-AD77</f>
        <v>41.257888805409465</v>
      </c>
      <c r="AE79" s="7"/>
      <c r="AF79" s="7" t="s">
        <v>230</v>
      </c>
      <c r="AG79" s="7"/>
      <c r="AH79" s="7"/>
      <c r="AI79" s="8"/>
    </row>
    <row r="80" spans="3:35" x14ac:dyDescent="0.2">
      <c r="C80" t="s">
        <v>27</v>
      </c>
      <c r="D80" s="18">
        <f>D79*N38</f>
        <v>4.6954006968641115</v>
      </c>
      <c r="K80" s="8"/>
      <c r="L80" s="29" t="s">
        <v>257</v>
      </c>
      <c r="Q80" s="8"/>
      <c r="S80" t="s">
        <v>91</v>
      </c>
      <c r="T80">
        <f>T79*N44/1000</f>
        <v>9.84</v>
      </c>
      <c r="U80" s="16"/>
      <c r="V80" s="8"/>
      <c r="Z80" s="8"/>
      <c r="AA80" s="6"/>
      <c r="AB80" s="7"/>
      <c r="AC80" s="7" t="s">
        <v>128</v>
      </c>
      <c r="AD80">
        <f>(AD77)*E41</f>
        <v>23800.478963185575</v>
      </c>
      <c r="AE80" s="7"/>
      <c r="AF80" s="7"/>
      <c r="AG80" s="7"/>
      <c r="AH80" s="7"/>
      <c r="AI80" s="8"/>
    </row>
    <row r="81" spans="1:35" x14ac:dyDescent="0.2">
      <c r="A81" s="7"/>
      <c r="B81" s="7"/>
      <c r="C81" s="7"/>
      <c r="D81" s="7"/>
      <c r="K81" s="8"/>
      <c r="M81" t="s">
        <v>261</v>
      </c>
      <c r="N81">
        <f>N25*G38</f>
        <v>0</v>
      </c>
      <c r="Q81" s="8"/>
      <c r="S81" t="s">
        <v>92</v>
      </c>
      <c r="T81">
        <f>T79*N38</f>
        <v>558912</v>
      </c>
      <c r="U81" s="16"/>
      <c r="V81" s="8"/>
      <c r="Z81" s="8"/>
      <c r="AA81" s="6"/>
      <c r="AB81" s="7"/>
      <c r="AC81" s="7" t="s">
        <v>129</v>
      </c>
      <c r="AD81">
        <f>AD79*E41</f>
        <v>36719.521036814425</v>
      </c>
      <c r="AE81" s="7"/>
      <c r="AF81" s="7"/>
      <c r="AG81" s="7"/>
      <c r="AH81" s="7"/>
      <c r="AI81" s="8"/>
    </row>
    <row r="82" spans="1:35" x14ac:dyDescent="0.2">
      <c r="C82" s="3" t="s">
        <v>313</v>
      </c>
      <c r="K82" s="8"/>
      <c r="M82" t="s">
        <v>48</v>
      </c>
      <c r="N82">
        <f>N81/E38</f>
        <v>0</v>
      </c>
      <c r="Q82" s="8"/>
      <c r="S82" t="s">
        <v>93</v>
      </c>
      <c r="T82">
        <f>T81/N43/10000</f>
        <v>43.326511627906974</v>
      </c>
      <c r="U82" s="16"/>
      <c r="V82" s="8"/>
      <c r="Z82" s="8"/>
      <c r="AA82" s="6"/>
      <c r="AB82" s="7"/>
      <c r="AC82" s="7" t="s">
        <v>130</v>
      </c>
      <c r="AD82">
        <f>N25*G41</f>
        <v>15184</v>
      </c>
      <c r="AE82" s="7"/>
      <c r="AF82" s="7"/>
      <c r="AG82" s="7"/>
      <c r="AH82" s="7"/>
      <c r="AI82" s="8"/>
    </row>
    <row r="83" spans="1:35" x14ac:dyDescent="0.2">
      <c r="C83" t="s">
        <v>22</v>
      </c>
      <c r="D83">
        <f>G26*N25</f>
        <v>199290</v>
      </c>
      <c r="F83" t="s">
        <v>207</v>
      </c>
      <c r="G83" s="18">
        <f>G63*D88</f>
        <v>4.7641717171717177</v>
      </c>
      <c r="K83" s="8"/>
      <c r="M83" t="s">
        <v>262</v>
      </c>
      <c r="N83">
        <f>N82/X26/T26</f>
        <v>0</v>
      </c>
      <c r="Q83" s="8"/>
      <c r="V83" s="8"/>
      <c r="Z83" s="8"/>
      <c r="AA83" s="6"/>
      <c r="AB83" s="7"/>
      <c r="AC83" s="7" t="s">
        <v>131</v>
      </c>
      <c r="AD83">
        <f>AD82/AD80</f>
        <v>0.63797035444061911</v>
      </c>
      <c r="AE83" s="7"/>
      <c r="AF83" s="7"/>
      <c r="AG83" s="7"/>
      <c r="AH83" s="7"/>
      <c r="AI83" s="8"/>
    </row>
    <row r="84" spans="1:35" x14ac:dyDescent="0.2">
      <c r="C84" t="s">
        <v>23</v>
      </c>
      <c r="D84">
        <v>0.1</v>
      </c>
      <c r="K84" s="8"/>
      <c r="M84" t="s">
        <v>263</v>
      </c>
      <c r="N84">
        <f>(70*(N83*T26)^0.75)*365</f>
        <v>0</v>
      </c>
      <c r="Q84" s="8"/>
      <c r="S84" s="16" t="s">
        <v>183</v>
      </c>
      <c r="V84" s="8"/>
      <c r="Z84" s="8"/>
      <c r="AA84" s="6"/>
      <c r="AB84" s="7"/>
      <c r="AC84" s="7" t="s">
        <v>132</v>
      </c>
      <c r="AD84">
        <f>AD83*N31</f>
        <v>724.73432264454334</v>
      </c>
      <c r="AE84" s="7"/>
      <c r="AF84" s="7"/>
      <c r="AG84" s="7"/>
      <c r="AH84" s="7"/>
      <c r="AI84" s="8"/>
    </row>
    <row r="85" spans="1:35" x14ac:dyDescent="0.2">
      <c r="C85" t="s">
        <v>24</v>
      </c>
      <c r="D85">
        <v>0.3</v>
      </c>
      <c r="K85" s="8"/>
      <c r="M85" t="s">
        <v>264</v>
      </c>
      <c r="N85">
        <v>0.65</v>
      </c>
      <c r="O85" s="60">
        <f>SUM(N85:N87)</f>
        <v>1</v>
      </c>
      <c r="Q85" s="8"/>
      <c r="V85" s="8"/>
      <c r="Z85" s="8"/>
      <c r="AA85" s="6"/>
      <c r="AB85" s="7"/>
      <c r="AC85" s="7" t="s">
        <v>133</v>
      </c>
      <c r="AD85">
        <f>AD84*AD79</f>
        <v>29901.008097132315</v>
      </c>
      <c r="AE85" s="7"/>
      <c r="AF85" s="7"/>
      <c r="AG85" s="7"/>
      <c r="AH85" s="7"/>
      <c r="AI85" s="8"/>
    </row>
    <row r="86" spans="1:35" x14ac:dyDescent="0.2">
      <c r="C86" t="s">
        <v>25</v>
      </c>
      <c r="D86" s="18">
        <f>F26*(1-(D84+D85))</f>
        <v>4752000</v>
      </c>
      <c r="K86" s="8"/>
      <c r="M86" t="s">
        <v>265</v>
      </c>
      <c r="N86">
        <v>0.1</v>
      </c>
      <c r="O86" s="60"/>
      <c r="Q86" s="8"/>
      <c r="V86" s="8"/>
      <c r="Z86" s="8"/>
      <c r="AA86" s="6"/>
      <c r="AB86" s="7"/>
      <c r="AC86" s="11" t="s">
        <v>187</v>
      </c>
      <c r="AD86" s="7">
        <f>AD84*AD81</f>
        <v>26611897.206447762</v>
      </c>
      <c r="AE86" s="7"/>
      <c r="AF86" s="7"/>
      <c r="AG86" s="7"/>
      <c r="AH86" s="7"/>
      <c r="AI86" s="8"/>
    </row>
    <row r="87" spans="1:35" x14ac:dyDescent="0.2">
      <c r="C87" t="s">
        <v>26</v>
      </c>
      <c r="D87" s="18">
        <f>D83/D86</f>
        <v>4.1938131313131316E-2</v>
      </c>
      <c r="K87" s="8"/>
      <c r="M87" t="s">
        <v>270</v>
      </c>
      <c r="N87">
        <v>0.25</v>
      </c>
      <c r="O87" s="60"/>
      <c r="Q87" s="8"/>
      <c r="R87" s="3" t="s">
        <v>244</v>
      </c>
      <c r="V87" s="8"/>
      <c r="Z87" s="8"/>
      <c r="AA87" s="6"/>
      <c r="AB87" s="12" t="s">
        <v>137</v>
      </c>
      <c r="AC87" s="7"/>
      <c r="AD87" s="7"/>
      <c r="AE87" s="7"/>
      <c r="AF87" s="7"/>
      <c r="AG87" s="7"/>
      <c r="AH87" s="7"/>
      <c r="AI87" s="8"/>
    </row>
    <row r="88" spans="1:35" x14ac:dyDescent="0.2">
      <c r="C88" t="s">
        <v>27</v>
      </c>
      <c r="D88" s="18">
        <f>D87*N38</f>
        <v>47.641717171717175</v>
      </c>
      <c r="K88" s="8"/>
      <c r="M88" t="s">
        <v>49</v>
      </c>
      <c r="N88">
        <f>N84*N85/W31</f>
        <v>0</v>
      </c>
      <c r="Q88" s="8"/>
      <c r="V88" s="8"/>
      <c r="Z88" s="8"/>
      <c r="AA88" s="6"/>
      <c r="AB88" s="7"/>
      <c r="AC88" s="7" t="s">
        <v>135</v>
      </c>
      <c r="AD88">
        <v>0.9</v>
      </c>
      <c r="AE88" s="7" t="s">
        <v>233</v>
      </c>
      <c r="AF88" s="7"/>
      <c r="AG88" s="7"/>
      <c r="AH88" s="7"/>
      <c r="AI88" s="8"/>
    </row>
    <row r="89" spans="1:35" x14ac:dyDescent="0.2">
      <c r="K89" s="8"/>
      <c r="M89" t="s">
        <v>50</v>
      </c>
      <c r="N89">
        <f>N86*N84/W32</f>
        <v>0</v>
      </c>
      <c r="Q89" s="8"/>
      <c r="V89" s="8"/>
      <c r="Z89" s="8"/>
      <c r="AA89" s="6"/>
      <c r="AB89" s="7"/>
      <c r="AC89" s="7" t="s">
        <v>136</v>
      </c>
      <c r="AD89">
        <v>0.2</v>
      </c>
      <c r="AE89" s="7" t="s">
        <v>234</v>
      </c>
      <c r="AF89" s="7"/>
      <c r="AG89" s="7"/>
      <c r="AH89" s="7"/>
      <c r="AI89" s="8"/>
    </row>
    <row r="90" spans="1:35" x14ac:dyDescent="0.2">
      <c r="A90" s="9"/>
      <c r="B90" s="9"/>
      <c r="C90" s="9"/>
      <c r="D90" s="9"/>
      <c r="E90" s="9"/>
      <c r="F90" s="9"/>
      <c r="G90" s="9"/>
      <c r="H90" s="9"/>
      <c r="I90" s="9"/>
      <c r="J90" s="9"/>
      <c r="K90" s="10"/>
      <c r="M90" t="s">
        <v>271</v>
      </c>
      <c r="N90">
        <f>N87*N84/W33</f>
        <v>0</v>
      </c>
      <c r="Q90" s="8"/>
      <c r="V90" s="8"/>
      <c r="Z90" s="8"/>
      <c r="AA90" s="6"/>
      <c r="AB90" s="7"/>
      <c r="AC90" s="7" t="s">
        <v>143</v>
      </c>
      <c r="AD90">
        <f>(1-AD88)*AD89</f>
        <v>1.9999999999999997E-2</v>
      </c>
      <c r="AE90" s="7"/>
      <c r="AF90" s="7"/>
      <c r="AG90" s="7"/>
      <c r="AH90" s="7"/>
      <c r="AI90" s="8"/>
    </row>
    <row r="91" spans="1:35" x14ac:dyDescent="0.2">
      <c r="K91" s="8"/>
      <c r="M91" t="s">
        <v>266</v>
      </c>
      <c r="N91">
        <f>SUM(N88:N90)</f>
        <v>0</v>
      </c>
      <c r="Q91" s="8"/>
      <c r="V91" s="8"/>
      <c r="Z91" s="8"/>
      <c r="AA91" s="6"/>
      <c r="AB91" s="7"/>
      <c r="AC91" s="7" t="s">
        <v>138</v>
      </c>
      <c r="AD91">
        <f>(AD89*AD88)*E43</f>
        <v>149.4</v>
      </c>
      <c r="AE91" s="7"/>
      <c r="AF91" s="7"/>
      <c r="AG91" s="7"/>
      <c r="AH91" s="7"/>
      <c r="AI91" s="8"/>
    </row>
    <row r="92" spans="1:35" x14ac:dyDescent="0.2">
      <c r="B92" s="3" t="s">
        <v>108</v>
      </c>
      <c r="D92" s="3" t="s">
        <v>109</v>
      </c>
      <c r="E92" s="3">
        <f>D99</f>
        <v>7.031610364943699</v>
      </c>
      <c r="K92" s="8"/>
      <c r="M92" s="3" t="s">
        <v>267</v>
      </c>
      <c r="N92">
        <f>N91*N31</f>
        <v>0</v>
      </c>
      <c r="Q92" s="8"/>
      <c r="V92" s="8"/>
      <c r="Z92" s="8"/>
      <c r="AA92" s="6"/>
      <c r="AB92" s="7"/>
      <c r="AC92" s="7" t="s">
        <v>139</v>
      </c>
      <c r="AD92">
        <f>G43*N25</f>
        <v>56940</v>
      </c>
      <c r="AE92" s="7"/>
      <c r="AF92" s="7"/>
      <c r="AG92" s="7"/>
      <c r="AH92" s="7"/>
      <c r="AI92" s="8"/>
    </row>
    <row r="93" spans="1:35" x14ac:dyDescent="0.2">
      <c r="B93" s="3" t="s">
        <v>311</v>
      </c>
      <c r="K93" s="8"/>
      <c r="M93" s="3" t="s">
        <v>272</v>
      </c>
      <c r="N93">
        <f>N83*N31</f>
        <v>0</v>
      </c>
      <c r="Q93" s="8"/>
      <c r="V93" s="8"/>
      <c r="Z93" s="8"/>
      <c r="AA93" s="6"/>
      <c r="AB93" s="7"/>
      <c r="AC93" s="7" t="s">
        <v>140</v>
      </c>
      <c r="AD93">
        <f>AD92/AD91</f>
        <v>381.12449799196787</v>
      </c>
      <c r="AF93" s="7"/>
      <c r="AG93" s="7"/>
      <c r="AH93" s="7"/>
      <c r="AI93" s="8"/>
    </row>
    <row r="94" spans="1:35" x14ac:dyDescent="0.2">
      <c r="C94" t="s">
        <v>22</v>
      </c>
      <c r="D94">
        <f>N25*G29</f>
        <v>23725</v>
      </c>
      <c r="K94" s="8"/>
      <c r="Q94" s="8"/>
      <c r="V94" s="8"/>
      <c r="Z94" s="8"/>
      <c r="AA94" s="6"/>
      <c r="AB94" s="7"/>
      <c r="AC94" s="7" t="s">
        <v>141</v>
      </c>
      <c r="AD94">
        <f>AD93*N31</f>
        <v>432957.4297188755</v>
      </c>
      <c r="AE94" s="7" t="s">
        <v>317</v>
      </c>
      <c r="AF94" s="7"/>
      <c r="AG94" s="7"/>
      <c r="AH94" s="7"/>
      <c r="AI94" s="8"/>
    </row>
    <row r="95" spans="1:35" x14ac:dyDescent="0.2">
      <c r="C95" t="s">
        <v>23</v>
      </c>
      <c r="D95">
        <v>0</v>
      </c>
      <c r="K95" s="8"/>
      <c r="Q95" s="8"/>
      <c r="V95" s="8"/>
      <c r="Z95" s="8"/>
      <c r="AA95" s="6"/>
      <c r="AB95" s="7"/>
      <c r="AC95" s="7" t="s">
        <v>142</v>
      </c>
      <c r="AD95">
        <f>AD90*AD94</f>
        <v>8659.1485943775078</v>
      </c>
      <c r="AE95" s="7"/>
      <c r="AF95" s="7"/>
      <c r="AG95" s="7"/>
      <c r="AH95" s="7"/>
      <c r="AI95" s="8"/>
    </row>
    <row r="96" spans="1:35" x14ac:dyDescent="0.2">
      <c r="C96" t="s">
        <v>24</v>
      </c>
      <c r="D96">
        <v>0.3</v>
      </c>
      <c r="K96" s="8"/>
      <c r="Q96" s="8"/>
      <c r="V96" s="8"/>
      <c r="Z96" s="8"/>
      <c r="AA96" s="6"/>
      <c r="AB96" s="7"/>
      <c r="AC96" s="7" t="s">
        <v>144</v>
      </c>
      <c r="AD96">
        <f>AD95*E42</f>
        <v>10399637.461847387</v>
      </c>
      <c r="AE96" s="7"/>
      <c r="AF96" s="7"/>
      <c r="AG96" s="7"/>
      <c r="AH96" s="7"/>
      <c r="AI96" s="8"/>
    </row>
    <row r="97" spans="3:35" x14ac:dyDescent="0.2">
      <c r="C97" t="s">
        <v>25</v>
      </c>
      <c r="D97">
        <f>F29*(1-SUM(D95:D96))</f>
        <v>3832919.9999999995</v>
      </c>
      <c r="K97" s="8"/>
      <c r="Q97" s="8"/>
      <c r="V97" s="8"/>
      <c r="Z97" s="8"/>
      <c r="AA97" s="6"/>
      <c r="AB97" s="7"/>
      <c r="AC97" s="7"/>
      <c r="AD97" s="7"/>
      <c r="AE97" s="7"/>
      <c r="AF97" s="7"/>
      <c r="AG97" s="7"/>
      <c r="AH97" s="7"/>
      <c r="AI97" s="8"/>
    </row>
    <row r="98" spans="3:35" x14ac:dyDescent="0.2">
      <c r="C98" t="s">
        <v>26</v>
      </c>
      <c r="D98">
        <f>D94/D97</f>
        <v>6.1897978564645238E-3</v>
      </c>
      <c r="K98" s="8"/>
      <c r="Q98" s="8"/>
      <c r="V98" s="8"/>
      <c r="Z98" s="8"/>
      <c r="AA98" s="6"/>
      <c r="AB98" s="12" t="s">
        <v>121</v>
      </c>
      <c r="AC98" s="7"/>
      <c r="AD98" s="7"/>
      <c r="AE98" s="7"/>
      <c r="AF98" s="7"/>
      <c r="AG98" s="7"/>
      <c r="AH98" s="7"/>
      <c r="AI98" s="8"/>
    </row>
    <row r="99" spans="3:35" x14ac:dyDescent="0.2">
      <c r="C99" t="s">
        <v>27</v>
      </c>
      <c r="D99">
        <f>D98*N38</f>
        <v>7.031610364943699</v>
      </c>
      <c r="K99" s="8"/>
      <c r="Q99" s="8"/>
      <c r="V99" s="8"/>
      <c r="Z99" s="8"/>
      <c r="AA99" s="6"/>
      <c r="AB99" s="7"/>
      <c r="AC99" s="7" t="s">
        <v>145</v>
      </c>
      <c r="AD99" s="7">
        <v>0.5</v>
      </c>
      <c r="AE99" s="7" t="s">
        <v>113</v>
      </c>
      <c r="AF99" s="7"/>
      <c r="AG99" s="7"/>
      <c r="AH99" s="7"/>
      <c r="AI99" s="8"/>
    </row>
    <row r="100" spans="3:35" x14ac:dyDescent="0.2">
      <c r="K100" s="8"/>
      <c r="Q100" s="8"/>
      <c r="V100" s="8"/>
      <c r="Z100" s="8"/>
      <c r="AA100" s="6"/>
      <c r="AB100" s="7"/>
      <c r="AC100" s="7" t="s">
        <v>146</v>
      </c>
      <c r="AD100" s="7">
        <f>AD99*365</f>
        <v>182.5</v>
      </c>
      <c r="AE100" s="7"/>
      <c r="AF100" s="7"/>
      <c r="AG100" s="7"/>
      <c r="AH100" s="7"/>
      <c r="AI100" s="8"/>
    </row>
    <row r="101" spans="3:35" x14ac:dyDescent="0.2">
      <c r="K101" s="8"/>
      <c r="Q101" s="8"/>
      <c r="V101" s="8"/>
      <c r="Z101" s="8"/>
      <c r="AA101" s="6"/>
      <c r="AB101" s="7"/>
      <c r="AC101" s="7" t="s">
        <v>148</v>
      </c>
      <c r="AD101" s="7">
        <f>V35</f>
        <v>890</v>
      </c>
      <c r="AE101" s="7"/>
      <c r="AF101" s="7"/>
      <c r="AG101" s="7"/>
      <c r="AH101" s="7"/>
      <c r="AI101" s="8"/>
    </row>
    <row r="102" spans="3:35" x14ac:dyDescent="0.2">
      <c r="K102" s="8"/>
      <c r="Q102" s="8"/>
      <c r="V102" s="8"/>
      <c r="Z102" s="8"/>
      <c r="AA102" s="6"/>
      <c r="AB102" s="7"/>
      <c r="AC102" s="7" t="s">
        <v>147</v>
      </c>
      <c r="AD102" s="7">
        <f>AD100*AD101</f>
        <v>162425</v>
      </c>
      <c r="AE102" s="7"/>
      <c r="AF102" s="7"/>
      <c r="AG102" s="7"/>
      <c r="AH102" s="7"/>
      <c r="AI102" s="8"/>
    </row>
    <row r="103" spans="3:35" x14ac:dyDescent="0.2">
      <c r="K103" s="8"/>
      <c r="Q103" s="8"/>
      <c r="V103" s="8"/>
      <c r="Z103" s="8"/>
      <c r="AA103" s="6"/>
      <c r="AB103" s="7"/>
      <c r="AC103" s="7" t="s">
        <v>150</v>
      </c>
      <c r="AD103" s="7">
        <f>AD100*N31</f>
        <v>207320</v>
      </c>
      <c r="AE103" s="7"/>
      <c r="AF103" s="7"/>
      <c r="AG103" s="7"/>
      <c r="AH103" s="7"/>
      <c r="AI103" s="8"/>
    </row>
    <row r="104" spans="3:35" x14ac:dyDescent="0.2">
      <c r="K104" s="8"/>
      <c r="Q104" s="8"/>
      <c r="V104" s="8"/>
      <c r="Z104" s="8"/>
      <c r="AA104" s="6"/>
      <c r="AB104" s="7"/>
      <c r="AC104" s="7" t="s">
        <v>149</v>
      </c>
      <c r="AD104" s="7">
        <f>AD102*N38</f>
        <v>184514800</v>
      </c>
      <c r="AE104" s="7"/>
      <c r="AF104" s="7"/>
      <c r="AG104" s="7"/>
      <c r="AH104" s="7"/>
      <c r="AI104" s="8"/>
    </row>
    <row r="105" spans="3:35" x14ac:dyDescent="0.2">
      <c r="K105" s="8"/>
      <c r="Q105" s="8"/>
      <c r="V105" s="8"/>
      <c r="Z105" s="8"/>
      <c r="AA105" s="6"/>
      <c r="AB105" s="7"/>
      <c r="AC105" s="7"/>
      <c r="AD105" s="7"/>
      <c r="AE105" s="7"/>
      <c r="AF105" s="7"/>
      <c r="AG105" s="7"/>
      <c r="AH105" s="7"/>
      <c r="AI105" s="8"/>
    </row>
    <row r="106" spans="3:35" x14ac:dyDescent="0.2">
      <c r="Z106" s="8"/>
      <c r="AA106" s="23"/>
      <c r="AB106" s="9"/>
      <c r="AC106" s="9"/>
      <c r="AD106" s="9"/>
      <c r="AE106" s="9"/>
      <c r="AF106" s="9"/>
      <c r="AG106" s="9"/>
      <c r="AH106" s="9"/>
      <c r="AI106" s="10"/>
    </row>
  </sheetData>
  <mergeCells count="10">
    <mergeCell ref="O85:O87"/>
    <mergeCell ref="O69:O71"/>
    <mergeCell ref="F74:F76"/>
    <mergeCell ref="G74:G76"/>
    <mergeCell ref="B25:B33"/>
    <mergeCell ref="O53:O54"/>
    <mergeCell ref="F67:F68"/>
    <mergeCell ref="G67:G68"/>
    <mergeCell ref="B34:B39"/>
    <mergeCell ref="B40:B4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0EEC42-381D-D342-A684-2ADEC820B814}">
  <dimension ref="A1:AI106"/>
  <sheetViews>
    <sheetView topLeftCell="A34" workbookViewId="0">
      <selection activeCell="H41" sqref="H41"/>
    </sheetView>
  </sheetViews>
  <sheetFormatPr baseColWidth="10" defaultRowHeight="16" x14ac:dyDescent="0.2"/>
  <cols>
    <col min="1" max="1" width="13.33203125" customWidth="1"/>
    <col min="2" max="2" width="14" customWidth="1"/>
    <col min="3" max="3" width="34.6640625" customWidth="1"/>
    <col min="4" max="4" width="19" customWidth="1"/>
    <col min="6" max="6" width="15" customWidth="1"/>
    <col min="13" max="13" width="43.5" customWidth="1"/>
    <col min="18" max="18" width="14.6640625" customWidth="1"/>
    <col min="19" max="19" width="43.83203125" customWidth="1"/>
    <col min="20" max="20" width="17.5" customWidth="1"/>
    <col min="22" max="22" width="14.5" customWidth="1"/>
    <col min="23" max="23" width="23.5" customWidth="1"/>
    <col min="24" max="24" width="33" customWidth="1"/>
    <col min="27" max="27" width="22.83203125" bestFit="1" customWidth="1"/>
    <col min="28" max="28" width="13.33203125" customWidth="1"/>
    <col min="29" max="29" width="50.1640625" bestFit="1" customWidth="1"/>
    <col min="30" max="30" width="12.1640625" bestFit="1" customWidth="1"/>
    <col min="33" max="33" width="45.6640625" bestFit="1" customWidth="1"/>
  </cols>
  <sheetData>
    <row r="1" spans="1:5" ht="21" x14ac:dyDescent="0.25">
      <c r="A1" s="2" t="s">
        <v>0</v>
      </c>
    </row>
    <row r="2" spans="1:5" ht="21" x14ac:dyDescent="0.25">
      <c r="A2" s="2" t="s">
        <v>167</v>
      </c>
      <c r="B2" s="2">
        <v>1800</v>
      </c>
    </row>
    <row r="3" spans="1:5" s="9" customFormat="1" ht="21" x14ac:dyDescent="0.25">
      <c r="A3" s="19" t="s">
        <v>166</v>
      </c>
      <c r="B3" s="19" t="s">
        <v>294</v>
      </c>
    </row>
    <row r="7" spans="1:5" ht="19" x14ac:dyDescent="0.25">
      <c r="B7" s="20" t="s">
        <v>168</v>
      </c>
      <c r="C7" s="4"/>
      <c r="D7" s="4"/>
      <c r="E7" s="5"/>
    </row>
    <row r="8" spans="1:5" x14ac:dyDescent="0.2">
      <c r="B8" s="21" t="s">
        <v>169</v>
      </c>
      <c r="C8" s="12" t="s">
        <v>251</v>
      </c>
      <c r="D8" s="12" t="s">
        <v>104</v>
      </c>
      <c r="E8" s="22" t="s">
        <v>252</v>
      </c>
    </row>
    <row r="9" spans="1:5" x14ac:dyDescent="0.2">
      <c r="B9" s="6">
        <v>1</v>
      </c>
      <c r="C9" s="7" t="s">
        <v>105</v>
      </c>
      <c r="D9" s="15">
        <f>N34*(N38/N31)</f>
        <v>5.5500000000000007</v>
      </c>
      <c r="E9" s="8">
        <v>1</v>
      </c>
    </row>
    <row r="10" spans="1:5" x14ac:dyDescent="0.2">
      <c r="B10" s="6">
        <v>2</v>
      </c>
      <c r="C10" s="7" t="s">
        <v>212</v>
      </c>
      <c r="D10" s="15">
        <f>E48+G69</f>
        <v>79.331115098907489</v>
      </c>
      <c r="E10" s="8">
        <v>2</v>
      </c>
    </row>
    <row r="11" spans="1:5" x14ac:dyDescent="0.2">
      <c r="B11" s="6">
        <v>3</v>
      </c>
      <c r="C11" s="7" t="s">
        <v>213</v>
      </c>
      <c r="D11" s="15">
        <f>E57</f>
        <v>120.10827171695908</v>
      </c>
      <c r="E11" s="8">
        <v>3</v>
      </c>
    </row>
    <row r="12" spans="1:5" x14ac:dyDescent="0.2">
      <c r="B12" s="6">
        <v>4</v>
      </c>
      <c r="C12" s="7" t="s">
        <v>214</v>
      </c>
      <c r="D12" s="15">
        <f>D11/(1/3)-D11</f>
        <v>240.21654343391819</v>
      </c>
      <c r="E12" s="8">
        <v>4</v>
      </c>
    </row>
    <row r="13" spans="1:5" x14ac:dyDescent="0.2">
      <c r="B13" s="6">
        <v>5</v>
      </c>
      <c r="C13" s="7" t="s">
        <v>285</v>
      </c>
      <c r="D13" s="15">
        <f>N75+N92</f>
        <v>92.940110282809684</v>
      </c>
      <c r="E13" s="8">
        <v>4</v>
      </c>
    </row>
    <row r="14" spans="1:5" x14ac:dyDescent="0.2">
      <c r="B14" s="6">
        <v>6</v>
      </c>
      <c r="C14" s="7" t="s">
        <v>215</v>
      </c>
      <c r="D14" s="15">
        <f>E92</f>
        <v>6.0417759828016253</v>
      </c>
      <c r="E14" s="8">
        <v>5</v>
      </c>
    </row>
    <row r="15" spans="1:5" x14ac:dyDescent="0.2">
      <c r="B15" s="6">
        <v>7</v>
      </c>
      <c r="C15" s="7" t="s">
        <v>216</v>
      </c>
      <c r="D15" s="15">
        <f>U47</f>
        <v>85.199999999999989</v>
      </c>
      <c r="E15" s="8">
        <v>5</v>
      </c>
    </row>
    <row r="16" spans="1:5" x14ac:dyDescent="0.2">
      <c r="B16" s="6">
        <v>8</v>
      </c>
      <c r="C16" s="7" t="s">
        <v>238</v>
      </c>
      <c r="D16" s="15">
        <f>N58</f>
        <v>60.675686759809338</v>
      </c>
      <c r="E16" s="8">
        <v>6</v>
      </c>
    </row>
    <row r="17" spans="1:35" x14ac:dyDescent="0.2">
      <c r="B17" s="6">
        <v>9</v>
      </c>
      <c r="C17" s="7" t="s">
        <v>106</v>
      </c>
      <c r="D17" s="15">
        <f>Y52</f>
        <v>1389.99584304</v>
      </c>
      <c r="E17" s="8">
        <v>6</v>
      </c>
    </row>
    <row r="18" spans="1:35" x14ac:dyDescent="0.2">
      <c r="B18" s="6">
        <v>10</v>
      </c>
      <c r="C18" s="7" t="s">
        <v>211</v>
      </c>
      <c r="D18" s="15">
        <f>SUM(D9:D15)+D16</f>
        <v>690.06350327520533</v>
      </c>
      <c r="E18" s="8" t="s">
        <v>16</v>
      </c>
    </row>
    <row r="19" spans="1:35" x14ac:dyDescent="0.2">
      <c r="B19" s="23">
        <v>11</v>
      </c>
      <c r="C19" s="46" t="s">
        <v>253</v>
      </c>
      <c r="D19" s="41">
        <f>SUM(D9:D17)</f>
        <v>2080.0593463152054</v>
      </c>
      <c r="E19" s="10" t="s">
        <v>16</v>
      </c>
    </row>
    <row r="21" spans="1:35" s="4" customFormat="1" x14ac:dyDescent="0.2">
      <c r="A21" s="26"/>
      <c r="K21" s="5"/>
      <c r="Q21" s="5"/>
      <c r="R21" s="26"/>
      <c r="Z21" s="5"/>
      <c r="AA21" s="26"/>
      <c r="AI21" s="5"/>
    </row>
    <row r="22" spans="1:35" ht="19" x14ac:dyDescent="0.25">
      <c r="A22" s="27" t="s">
        <v>170</v>
      </c>
      <c r="C22" s="7"/>
      <c r="D22" s="7"/>
      <c r="E22" s="7"/>
      <c r="F22" s="7"/>
      <c r="G22" s="7"/>
      <c r="H22" s="7"/>
      <c r="I22" s="7"/>
      <c r="J22" s="7"/>
      <c r="K22" s="8"/>
      <c r="L22" s="7"/>
      <c r="M22" s="7"/>
      <c r="N22" s="7"/>
      <c r="O22" s="7"/>
      <c r="P22" s="7"/>
      <c r="Q22" s="8"/>
      <c r="R22" s="6"/>
      <c r="S22" s="7"/>
      <c r="T22" s="7"/>
      <c r="U22" s="7"/>
      <c r="V22" s="7"/>
      <c r="W22" s="7"/>
      <c r="X22" s="7"/>
      <c r="Y22" s="7"/>
      <c r="Z22" s="8"/>
      <c r="AA22" s="6"/>
      <c r="AB22" s="7"/>
      <c r="AC22" s="7"/>
      <c r="AD22" s="7"/>
      <c r="AE22" s="7"/>
      <c r="AF22" s="7"/>
      <c r="AG22" s="7"/>
      <c r="AH22" s="7"/>
      <c r="AI22" s="8"/>
    </row>
    <row r="23" spans="1:35" ht="19" x14ac:dyDescent="0.25">
      <c r="A23" s="24" t="s">
        <v>28</v>
      </c>
      <c r="C23" s="7"/>
      <c r="D23" s="7"/>
      <c r="E23" s="7"/>
      <c r="F23" s="7"/>
      <c r="G23" s="7"/>
      <c r="H23" s="7"/>
      <c r="I23" s="7"/>
      <c r="J23" s="7"/>
      <c r="K23" s="8"/>
      <c r="L23" s="24" t="s">
        <v>31</v>
      </c>
      <c r="N23" s="7"/>
      <c r="O23" s="7"/>
      <c r="P23" s="7"/>
      <c r="Q23" s="8"/>
      <c r="R23" s="31" t="s">
        <v>45</v>
      </c>
      <c r="S23" s="7"/>
      <c r="T23" s="7"/>
      <c r="U23" s="7"/>
      <c r="V23" s="7"/>
      <c r="W23" s="7"/>
      <c r="X23" s="7"/>
      <c r="Y23" s="7"/>
      <c r="Z23" s="8"/>
      <c r="AA23" s="31" t="s">
        <v>152</v>
      </c>
      <c r="AB23" s="7"/>
      <c r="AC23" s="7"/>
      <c r="AD23" s="7"/>
      <c r="AE23" s="7"/>
      <c r="AF23" s="7"/>
      <c r="AG23" s="7"/>
      <c r="AH23" s="7"/>
      <c r="AI23" s="8"/>
    </row>
    <row r="24" spans="1:35" ht="34" x14ac:dyDescent="0.2">
      <c r="A24" s="6"/>
      <c r="B24" s="51"/>
      <c r="C24" s="51" t="s">
        <v>1</v>
      </c>
      <c r="D24" s="51" t="s">
        <v>2</v>
      </c>
      <c r="E24" s="47" t="s">
        <v>3</v>
      </c>
      <c r="F24" s="47" t="s">
        <v>4</v>
      </c>
      <c r="G24" s="48" t="s">
        <v>44</v>
      </c>
      <c r="H24" t="s">
        <v>18</v>
      </c>
      <c r="I24" s="7"/>
      <c r="J24" s="7"/>
      <c r="K24" s="8"/>
      <c r="L24" s="7"/>
      <c r="M24" s="7" t="s">
        <v>29</v>
      </c>
      <c r="N24" s="7">
        <v>2234</v>
      </c>
      <c r="O24" s="7" t="s">
        <v>172</v>
      </c>
      <c r="P24" s="7"/>
      <c r="Q24" s="8"/>
      <c r="R24" s="6"/>
      <c r="S24" s="33" t="s">
        <v>47</v>
      </c>
      <c r="T24" s="28">
        <v>45</v>
      </c>
      <c r="U24" s="7"/>
      <c r="V24" s="7"/>
      <c r="W24" s="14" t="s">
        <v>52</v>
      </c>
      <c r="X24" s="28">
        <v>7.3599999999999999E-2</v>
      </c>
      <c r="Y24" s="7" t="s">
        <v>274</v>
      </c>
      <c r="Z24" s="8"/>
      <c r="AA24" s="6"/>
      <c r="AB24" s="7"/>
      <c r="AC24" s="12" t="s">
        <v>153</v>
      </c>
      <c r="AD24" s="12" t="s">
        <v>154</v>
      </c>
      <c r="AE24" s="7"/>
      <c r="AF24" s="7"/>
      <c r="AG24" s="7" t="s">
        <v>161</v>
      </c>
      <c r="AH24" s="7">
        <f>N59</f>
        <v>391.23754978607303</v>
      </c>
      <c r="AI24" s="8"/>
    </row>
    <row r="25" spans="1:35" ht="34" x14ac:dyDescent="0.2">
      <c r="A25" s="6"/>
      <c r="B25" s="61" t="s">
        <v>17</v>
      </c>
      <c r="C25" t="s">
        <v>5</v>
      </c>
      <c r="D25" s="51">
        <v>2500</v>
      </c>
      <c r="E25" s="54">
        <v>3540</v>
      </c>
      <c r="F25" s="49">
        <f>D25*E25</f>
        <v>8850000</v>
      </c>
      <c r="G25" s="51">
        <v>0.32</v>
      </c>
      <c r="I25" s="7"/>
      <c r="L25" s="7"/>
      <c r="M25" s="7" t="s">
        <v>30</v>
      </c>
      <c r="N25" s="7">
        <f>N24*365</f>
        <v>815410</v>
      </c>
      <c r="O25" s="7"/>
      <c r="P25" s="7"/>
      <c r="Q25" s="8"/>
      <c r="R25" s="6"/>
      <c r="S25" s="33" t="s">
        <v>46</v>
      </c>
      <c r="T25" s="28">
        <v>436</v>
      </c>
      <c r="U25" s="32" t="s">
        <v>218</v>
      </c>
      <c r="V25" s="7"/>
      <c r="W25" s="14" t="s">
        <v>53</v>
      </c>
      <c r="X25" s="28">
        <v>0.222</v>
      </c>
      <c r="Y25" s="32" t="s">
        <v>275</v>
      </c>
      <c r="Z25" s="8"/>
      <c r="AA25" s="6"/>
      <c r="AB25" s="12" t="s">
        <v>151</v>
      </c>
      <c r="AC25" s="36">
        <f>AD56/1000</f>
        <v>392463.52906345506</v>
      </c>
      <c r="AD25" s="36">
        <f>AC25*$AB$39</f>
        <v>188382493.95045844</v>
      </c>
      <c r="AE25" s="7"/>
      <c r="AF25" s="7"/>
      <c r="AG25" s="7" t="s">
        <v>162</v>
      </c>
      <c r="AH25" s="7">
        <f>N52/N51</f>
        <v>579475.04789838311</v>
      </c>
      <c r="AI25" s="8"/>
    </row>
    <row r="26" spans="1:35" ht="34" x14ac:dyDescent="0.2">
      <c r="A26" s="6"/>
      <c r="B26" s="61"/>
      <c r="C26" t="s">
        <v>315</v>
      </c>
      <c r="D26" s="51">
        <v>6000</v>
      </c>
      <c r="E26" s="54">
        <v>1320</v>
      </c>
      <c r="F26" s="49">
        <f t="shared" ref="F26:F32" si="0">D26*E26</f>
        <v>7920000</v>
      </c>
      <c r="G26" s="51">
        <v>0.21</v>
      </c>
      <c r="I26" s="7"/>
      <c r="J26" s="7"/>
      <c r="K26" s="8"/>
      <c r="L26" s="7"/>
      <c r="M26" s="7"/>
      <c r="N26" s="7"/>
      <c r="O26" s="7"/>
      <c r="P26" s="7"/>
      <c r="Q26" s="8"/>
      <c r="R26" s="6"/>
      <c r="S26" s="33" t="s">
        <v>269</v>
      </c>
      <c r="T26" s="28">
        <v>35</v>
      </c>
      <c r="U26" s="7"/>
      <c r="V26" s="7"/>
      <c r="W26" s="14" t="s">
        <v>273</v>
      </c>
      <c r="X26" s="28">
        <v>0.113</v>
      </c>
      <c r="Y26" s="7" t="s">
        <v>274</v>
      </c>
      <c r="Z26" s="8"/>
      <c r="AA26" s="6"/>
      <c r="AB26" s="12" t="s">
        <v>155</v>
      </c>
      <c r="AC26" s="36">
        <f>AD65/1000</f>
        <v>266191.02366315789</v>
      </c>
      <c r="AD26" s="36">
        <f>AC26*$AB$39</f>
        <v>127771691.35831578</v>
      </c>
      <c r="AE26" s="7"/>
      <c r="AF26" s="7"/>
      <c r="AG26" s="7" t="s">
        <v>163</v>
      </c>
      <c r="AH26" s="36">
        <f>AH25*AH24</f>
        <v>226712397.90193072</v>
      </c>
      <c r="AI26" s="8"/>
    </row>
    <row r="27" spans="1:35" ht="16" customHeight="1" x14ac:dyDescent="0.2">
      <c r="A27" s="6"/>
      <c r="B27" s="61"/>
      <c r="C27" t="s">
        <v>120</v>
      </c>
      <c r="D27" s="51">
        <v>2000</v>
      </c>
      <c r="E27" s="54">
        <v>1110</v>
      </c>
      <c r="F27" s="49">
        <f t="shared" si="0"/>
        <v>2220000</v>
      </c>
      <c r="G27" s="51">
        <v>2.1999999999999999E-2</v>
      </c>
      <c r="I27" s="7"/>
      <c r="J27" s="7"/>
      <c r="K27" s="8"/>
      <c r="L27" s="9"/>
      <c r="M27" s="9"/>
      <c r="N27" s="9"/>
      <c r="O27" s="9"/>
      <c r="P27" s="9"/>
      <c r="Q27" s="10"/>
      <c r="R27" s="6"/>
      <c r="S27" s="7"/>
      <c r="T27" s="7"/>
      <c r="U27" s="7"/>
      <c r="V27" s="7"/>
      <c r="W27" s="7"/>
      <c r="X27" s="7"/>
      <c r="Y27" s="7"/>
      <c r="Z27" s="8"/>
      <c r="AA27" s="6"/>
      <c r="AB27" s="12" t="s">
        <v>156</v>
      </c>
      <c r="AC27" s="36">
        <f>AD74/1000</f>
        <v>56326.066285549561</v>
      </c>
      <c r="AD27" s="36">
        <f>AC27*AB40</f>
        <v>13574581.974817444</v>
      </c>
      <c r="AE27" s="7"/>
      <c r="AF27" s="7"/>
      <c r="AG27" s="7"/>
      <c r="AH27" s="7"/>
      <c r="AI27" s="8"/>
    </row>
    <row r="28" spans="1:35" x14ac:dyDescent="0.2">
      <c r="A28" s="6"/>
      <c r="B28" s="61"/>
      <c r="C28" t="s">
        <v>276</v>
      </c>
      <c r="D28" s="51">
        <v>5000</v>
      </c>
      <c r="E28" s="54">
        <v>950</v>
      </c>
      <c r="F28" s="49">
        <f t="shared" si="0"/>
        <v>4750000</v>
      </c>
      <c r="G28" s="51">
        <v>0.21</v>
      </c>
      <c r="I28" s="7"/>
      <c r="J28" s="7"/>
      <c r="K28" s="8"/>
      <c r="L28" s="7"/>
      <c r="M28" s="7"/>
      <c r="N28" s="7"/>
      <c r="O28" s="7"/>
      <c r="P28" s="7"/>
      <c r="Q28" s="8"/>
      <c r="R28" s="6"/>
      <c r="S28" s="7"/>
      <c r="T28" s="7"/>
      <c r="Y28" s="7"/>
      <c r="Z28" s="8"/>
      <c r="AA28" s="6"/>
      <c r="AB28" s="12" t="s">
        <v>157</v>
      </c>
      <c r="AC28" s="36">
        <f>AD85</f>
        <v>25691.866188074458</v>
      </c>
      <c r="AD28" s="36">
        <f>AD86</f>
        <v>22865760.907386266</v>
      </c>
      <c r="AE28" s="7"/>
      <c r="AF28" s="7"/>
      <c r="AG28" s="7"/>
      <c r="AH28" s="7"/>
      <c r="AI28" s="8"/>
    </row>
    <row r="29" spans="1:35" ht="19" x14ac:dyDescent="0.25">
      <c r="A29" s="6"/>
      <c r="B29" s="61"/>
      <c r="C29" t="s">
        <v>311</v>
      </c>
      <c r="D29" s="51">
        <v>5070</v>
      </c>
      <c r="E29" s="54">
        <v>1080</v>
      </c>
      <c r="F29" s="49">
        <f t="shared" si="0"/>
        <v>5475600</v>
      </c>
      <c r="G29" s="51">
        <v>2.5000000000000001E-2</v>
      </c>
      <c r="I29" s="7"/>
      <c r="J29" s="7"/>
      <c r="K29" s="8"/>
      <c r="L29" s="24" t="s">
        <v>32</v>
      </c>
      <c r="N29" s="7"/>
      <c r="O29" s="7"/>
      <c r="P29" s="7"/>
      <c r="Q29" s="8"/>
      <c r="R29" s="6"/>
      <c r="S29" s="7"/>
      <c r="T29" s="7"/>
      <c r="U29" s="28" t="s">
        <v>56</v>
      </c>
      <c r="V29" s="28" t="s">
        <v>57</v>
      </c>
      <c r="W29" s="28" t="s">
        <v>58</v>
      </c>
      <c r="X29" s="7"/>
      <c r="Y29" s="7"/>
      <c r="Z29" s="8"/>
      <c r="AA29" s="6"/>
      <c r="AB29" s="12" t="s">
        <v>158</v>
      </c>
      <c r="AC29" s="36">
        <f>AD95</f>
        <v>7440.2069076305206</v>
      </c>
      <c r="AD29" s="36">
        <f t="shared" ref="AD29" si="1">AC29*$AB$39</f>
        <v>3571299.3156626499</v>
      </c>
      <c r="AE29" s="7"/>
      <c r="AF29" s="7"/>
      <c r="AG29" s="7" t="s">
        <v>164</v>
      </c>
      <c r="AH29" s="7" t="str">
        <f>IF(AD31&gt;AH26,"YES","NO")</f>
        <v>YES</v>
      </c>
      <c r="AI29" s="8"/>
    </row>
    <row r="30" spans="1:35" x14ac:dyDescent="0.2">
      <c r="A30" s="6"/>
      <c r="B30" s="61"/>
      <c r="C30" t="s">
        <v>7</v>
      </c>
      <c r="D30" s="49" t="s">
        <v>16</v>
      </c>
      <c r="E30" s="49" t="s">
        <v>16</v>
      </c>
      <c r="F30" s="49" t="s">
        <v>16</v>
      </c>
      <c r="G30" s="51">
        <v>0</v>
      </c>
      <c r="I30" s="7"/>
      <c r="J30" s="7"/>
      <c r="K30" s="8"/>
      <c r="L30" s="7"/>
      <c r="M30" s="12" t="s">
        <v>34</v>
      </c>
      <c r="N30" s="12" t="s">
        <v>35</v>
      </c>
      <c r="O30" s="12" t="s">
        <v>36</v>
      </c>
      <c r="P30" s="7"/>
      <c r="Q30" s="8"/>
      <c r="R30" s="6"/>
      <c r="T30" s="12"/>
      <c r="U30" s="28" t="s">
        <v>59</v>
      </c>
      <c r="V30" s="28" t="s">
        <v>60</v>
      </c>
      <c r="W30" s="28" t="s">
        <v>61</v>
      </c>
      <c r="X30" s="7" t="s">
        <v>177</v>
      </c>
      <c r="Y30" s="7"/>
      <c r="Z30" s="8"/>
      <c r="AA30" s="6"/>
      <c r="AB30" s="12" t="s">
        <v>159</v>
      </c>
      <c r="AC30" s="36">
        <f>AD103</f>
        <v>207320</v>
      </c>
      <c r="AD30" s="36">
        <f>AD104</f>
        <v>184514800</v>
      </c>
      <c r="AE30" s="7"/>
      <c r="AF30" s="7"/>
      <c r="AG30" s="7" t="s">
        <v>165</v>
      </c>
      <c r="AH30" s="15">
        <f>AD31/AH26</f>
        <v>2.3848745481511933</v>
      </c>
      <c r="AI30" s="8"/>
    </row>
    <row r="31" spans="1:35" x14ac:dyDescent="0.2">
      <c r="A31" s="6"/>
      <c r="B31" s="61"/>
      <c r="C31" t="s">
        <v>8</v>
      </c>
      <c r="D31" s="51" t="s">
        <v>16</v>
      </c>
      <c r="E31" s="49" t="s">
        <v>16</v>
      </c>
      <c r="F31" s="49" t="s">
        <v>16</v>
      </c>
      <c r="G31" s="51">
        <v>0</v>
      </c>
      <c r="I31" s="7"/>
      <c r="J31" s="7"/>
      <c r="K31" s="8"/>
      <c r="L31" s="7"/>
      <c r="M31" s="12" t="s">
        <v>33</v>
      </c>
      <c r="N31" s="12">
        <f>N32*N33</f>
        <v>1136</v>
      </c>
      <c r="O31" s="7"/>
      <c r="P31" s="7"/>
      <c r="Q31" s="8"/>
      <c r="R31" s="6"/>
      <c r="S31" s="33" t="s">
        <v>179</v>
      </c>
      <c r="T31" s="12" t="s">
        <v>62</v>
      </c>
      <c r="U31" s="7">
        <v>700</v>
      </c>
      <c r="V31" s="7">
        <v>1452</v>
      </c>
      <c r="W31" s="7">
        <f>U31*V31</f>
        <v>1016400</v>
      </c>
      <c r="X31" s="32" t="s">
        <v>178</v>
      </c>
      <c r="Y31" s="7"/>
      <c r="Z31" s="8"/>
      <c r="AA31" s="6"/>
      <c r="AB31" s="12" t="s">
        <v>160</v>
      </c>
      <c r="AC31" s="36">
        <f>SUM(AC25:AC30)</f>
        <v>955432.69210786745</v>
      </c>
      <c r="AD31" s="36">
        <f>SUM(AD25:AD30)</f>
        <v>540680627.50664055</v>
      </c>
      <c r="AE31" s="7"/>
      <c r="AF31" s="7"/>
      <c r="AG31" s="11" t="s">
        <v>235</v>
      </c>
      <c r="AH31" s="15">
        <f>(AD25+AD26+AD27+AD30)/AH26</f>
        <v>2.2682639857483169</v>
      </c>
      <c r="AI31" s="8"/>
    </row>
    <row r="32" spans="1:35" x14ac:dyDescent="0.2">
      <c r="A32" s="6"/>
      <c r="B32" s="61"/>
      <c r="C32" t="s">
        <v>277</v>
      </c>
      <c r="D32" s="51">
        <v>12000</v>
      </c>
      <c r="E32" s="54">
        <v>410</v>
      </c>
      <c r="F32" s="49">
        <f t="shared" si="0"/>
        <v>4920000</v>
      </c>
      <c r="G32" s="51">
        <v>1.4999999999999999E-2</v>
      </c>
      <c r="I32" s="7"/>
      <c r="J32" s="7"/>
      <c r="K32" s="8"/>
      <c r="L32" s="7"/>
      <c r="M32" s="7" t="s">
        <v>37</v>
      </c>
      <c r="N32" s="7">
        <v>284</v>
      </c>
      <c r="O32" s="7" t="s">
        <v>283</v>
      </c>
      <c r="P32" s="7"/>
      <c r="Q32" s="8"/>
      <c r="R32" s="6"/>
      <c r="S32" s="7"/>
      <c r="T32" s="12" t="s">
        <v>63</v>
      </c>
      <c r="U32" s="7">
        <v>700</v>
      </c>
      <c r="V32" s="7">
        <v>2151</v>
      </c>
      <c r="W32" s="7">
        <f>U32*V32</f>
        <v>1505700</v>
      </c>
      <c r="X32" s="32" t="s">
        <v>178</v>
      </c>
      <c r="Y32" s="7"/>
      <c r="Z32" s="8"/>
      <c r="AA32" s="6"/>
      <c r="AB32" s="7"/>
      <c r="AC32" s="7"/>
      <c r="AD32" s="7"/>
      <c r="AE32" s="7"/>
      <c r="AF32" s="7"/>
      <c r="AG32" s="11" t="s">
        <v>236</v>
      </c>
      <c r="AH32" s="15">
        <f>(SUM(AD25:AD26)+AD30)/AH26</f>
        <v>2.2083882043599101</v>
      </c>
      <c r="AI32" s="8"/>
    </row>
    <row r="33" spans="1:35" x14ac:dyDescent="0.2">
      <c r="A33" s="6"/>
      <c r="B33" s="61"/>
      <c r="C33" t="s">
        <v>278</v>
      </c>
      <c r="D33" s="49" t="s">
        <v>16</v>
      </c>
      <c r="E33" s="49" t="s">
        <v>16</v>
      </c>
      <c r="F33" s="49" t="s">
        <v>16</v>
      </c>
      <c r="G33" s="51">
        <v>3.5000000000000003E-2</v>
      </c>
      <c r="I33" s="7"/>
      <c r="J33" s="7"/>
      <c r="K33" s="8"/>
      <c r="L33" s="7"/>
      <c r="M33" s="7" t="s">
        <v>38</v>
      </c>
      <c r="N33" s="7">
        <v>4</v>
      </c>
      <c r="O33" s="7"/>
      <c r="P33" s="7"/>
      <c r="Q33" s="8"/>
      <c r="R33" s="6"/>
      <c r="S33" s="7"/>
      <c r="T33" s="12" t="s">
        <v>64</v>
      </c>
      <c r="U33" s="7"/>
      <c r="V33" s="7"/>
      <c r="W33" s="7">
        <v>373646.2</v>
      </c>
      <c r="X33" s="32" t="s">
        <v>178</v>
      </c>
      <c r="Y33" s="7"/>
      <c r="Z33" s="8"/>
      <c r="AA33" s="6"/>
      <c r="AB33" s="7"/>
      <c r="AC33" s="7"/>
      <c r="AD33" s="7"/>
      <c r="AE33" s="7"/>
      <c r="AF33" s="7"/>
      <c r="AG33" s="11" t="s">
        <v>237</v>
      </c>
      <c r="AH33" s="15">
        <f>(AD26+AD30)/AH26</f>
        <v>1.3774566113204005</v>
      </c>
      <c r="AI33" s="8"/>
    </row>
    <row r="34" spans="1:35" ht="16" customHeight="1" x14ac:dyDescent="0.2">
      <c r="A34" s="6"/>
      <c r="B34" s="63" t="s">
        <v>20</v>
      </c>
      <c r="C34" t="s">
        <v>10</v>
      </c>
      <c r="D34" s="51" t="s">
        <v>16</v>
      </c>
      <c r="E34" s="54">
        <v>2370</v>
      </c>
      <c r="F34" s="51" t="s">
        <v>16</v>
      </c>
      <c r="G34" s="51">
        <v>0.01</v>
      </c>
      <c r="H34" t="s">
        <v>19</v>
      </c>
      <c r="I34" s="7"/>
      <c r="J34" s="7"/>
      <c r="K34" s="8"/>
      <c r="L34" s="7"/>
      <c r="M34" s="12" t="s">
        <v>40</v>
      </c>
      <c r="N34" s="12">
        <f>3.39+2.16</f>
        <v>5.5500000000000007</v>
      </c>
      <c r="O34" s="7" t="s">
        <v>284</v>
      </c>
      <c r="P34" s="7"/>
      <c r="Q34" s="8"/>
      <c r="R34" s="6"/>
      <c r="S34" s="7"/>
      <c r="T34" s="12" t="s">
        <v>65</v>
      </c>
      <c r="U34" s="7">
        <f>N31*3</f>
        <v>3408</v>
      </c>
      <c r="V34" s="7">
        <v>1122</v>
      </c>
      <c r="W34" s="7">
        <f>U34*V34</f>
        <v>3823776</v>
      </c>
      <c r="X34" s="32" t="s">
        <v>178</v>
      </c>
      <c r="Y34" s="7"/>
      <c r="Z34" s="8"/>
      <c r="AA34" s="6"/>
      <c r="AB34" s="7"/>
      <c r="AC34" s="7"/>
      <c r="AD34" s="7"/>
      <c r="AE34" s="7"/>
      <c r="AF34" s="7"/>
      <c r="AG34" s="7"/>
      <c r="AH34" s="7"/>
      <c r="AI34" s="8"/>
    </row>
    <row r="35" spans="1:35" ht="16" customHeight="1" x14ac:dyDescent="0.2">
      <c r="A35" s="6"/>
      <c r="B35" s="63"/>
      <c r="C35" t="s">
        <v>11</v>
      </c>
      <c r="D35" s="51" t="s">
        <v>16</v>
      </c>
      <c r="E35" s="54">
        <v>1730</v>
      </c>
      <c r="F35" s="51" t="s">
        <v>16</v>
      </c>
      <c r="G35" s="51">
        <v>0.01</v>
      </c>
      <c r="H35" t="s">
        <v>19</v>
      </c>
      <c r="I35" s="7"/>
      <c r="J35" s="7"/>
      <c r="K35" s="8"/>
      <c r="L35" s="7"/>
      <c r="M35" s="7" t="s">
        <v>39</v>
      </c>
      <c r="N35" s="7">
        <f>N34/N31</f>
        <v>4.8855633802816906E-3</v>
      </c>
      <c r="O35" s="7"/>
      <c r="P35" s="7"/>
      <c r="Q35" s="8"/>
      <c r="R35" s="6"/>
      <c r="S35" s="7"/>
      <c r="T35" s="12" t="s">
        <v>121</v>
      </c>
      <c r="U35" s="7" t="s">
        <v>122</v>
      </c>
      <c r="V35" s="7">
        <v>890</v>
      </c>
      <c r="W35" s="7" t="s">
        <v>122</v>
      </c>
      <c r="X35" s="43" t="s">
        <v>113</v>
      </c>
      <c r="Y35" s="7"/>
      <c r="Z35" s="8"/>
      <c r="AA35" s="6"/>
      <c r="AB35" s="7"/>
      <c r="AC35" s="7"/>
      <c r="AD35" s="7"/>
      <c r="AE35" s="7"/>
      <c r="AF35" s="7"/>
      <c r="AG35" s="7"/>
      <c r="AH35" s="7"/>
      <c r="AI35" s="8"/>
    </row>
    <row r="36" spans="1:35" x14ac:dyDescent="0.2">
      <c r="A36" s="6"/>
      <c r="B36" s="63"/>
      <c r="C36" t="s">
        <v>12</v>
      </c>
      <c r="D36" s="51" t="s">
        <v>16</v>
      </c>
      <c r="E36" s="54">
        <v>1201</v>
      </c>
      <c r="F36" s="51" t="s">
        <v>16</v>
      </c>
      <c r="G36" s="51">
        <v>5.0000000000000001E-3</v>
      </c>
      <c r="I36" s="7"/>
      <c r="J36" s="7"/>
      <c r="K36" s="8"/>
      <c r="L36" s="7"/>
      <c r="M36" s="7"/>
      <c r="N36" s="7"/>
      <c r="O36" s="7"/>
      <c r="P36" s="7"/>
      <c r="Q36" s="8"/>
      <c r="R36" s="6"/>
      <c r="S36" s="7"/>
      <c r="T36" s="7"/>
      <c r="U36" s="7"/>
      <c r="V36" s="7"/>
      <c r="W36" s="7"/>
      <c r="X36" s="7"/>
      <c r="Y36" s="7"/>
      <c r="Z36" s="8"/>
      <c r="AA36" s="6"/>
      <c r="AB36" s="7"/>
      <c r="AC36" s="7"/>
      <c r="AD36" s="7"/>
      <c r="AE36" s="7"/>
      <c r="AF36" s="7"/>
      <c r="AG36" s="7"/>
      <c r="AH36" s="7"/>
      <c r="AI36" s="8"/>
    </row>
    <row r="37" spans="1:35" x14ac:dyDescent="0.2">
      <c r="A37" s="6"/>
      <c r="B37" s="63"/>
      <c r="C37" t="s">
        <v>13</v>
      </c>
      <c r="D37" s="51" t="s">
        <v>16</v>
      </c>
      <c r="E37" s="54">
        <v>1340</v>
      </c>
      <c r="F37" s="51" t="s">
        <v>16</v>
      </c>
      <c r="G37" s="51">
        <v>1E-3</v>
      </c>
      <c r="H37" t="s">
        <v>242</v>
      </c>
      <c r="I37" s="7"/>
      <c r="J37" s="7"/>
      <c r="K37" s="8"/>
      <c r="L37" s="7"/>
      <c r="M37" s="40" t="s">
        <v>239</v>
      </c>
      <c r="N37" s="12" t="s">
        <v>282</v>
      </c>
      <c r="O37" s="7"/>
      <c r="P37" s="7"/>
      <c r="Q37" s="8"/>
      <c r="R37" s="6"/>
      <c r="S37" s="7"/>
      <c r="T37" s="7"/>
      <c r="U37" s="7"/>
      <c r="V37" s="7"/>
      <c r="W37" s="7"/>
      <c r="X37" s="7"/>
      <c r="Y37" s="7"/>
      <c r="Z37" s="8"/>
      <c r="AB37" s="7"/>
      <c r="AC37" s="34"/>
      <c r="AD37" s="34"/>
      <c r="AF37" s="7"/>
      <c r="AG37" s="7"/>
      <c r="AH37" s="7"/>
      <c r="AI37" s="8"/>
    </row>
    <row r="38" spans="1:35" x14ac:dyDescent="0.2">
      <c r="A38" s="6"/>
      <c r="B38" s="63"/>
      <c r="C38" t="s">
        <v>268</v>
      </c>
      <c r="D38" s="51" t="s">
        <v>16</v>
      </c>
      <c r="E38" s="54">
        <v>1480</v>
      </c>
      <c r="F38" s="51" t="s">
        <v>16</v>
      </c>
      <c r="G38" s="51">
        <v>0</v>
      </c>
      <c r="I38" s="7"/>
      <c r="J38" s="7"/>
      <c r="K38" s="8"/>
      <c r="L38" s="7"/>
      <c r="M38" s="40" t="s">
        <v>240</v>
      </c>
      <c r="N38" s="12">
        <f>N31</f>
        <v>1136</v>
      </c>
      <c r="O38" s="7"/>
      <c r="P38" s="7"/>
      <c r="Q38" s="8"/>
      <c r="R38" s="6"/>
      <c r="S38" s="7"/>
      <c r="T38" s="7"/>
      <c r="U38" s="7"/>
      <c r="V38" s="7"/>
      <c r="W38" s="7"/>
      <c r="X38" s="7"/>
      <c r="Y38" s="7"/>
      <c r="Z38" s="8"/>
      <c r="AB38" s="7"/>
      <c r="AC38" s="34"/>
      <c r="AD38" s="34"/>
      <c r="AF38" s="7"/>
      <c r="AG38" s="7"/>
      <c r="AH38" s="7"/>
      <c r="AI38" s="8"/>
    </row>
    <row r="39" spans="1:35" ht="16" customHeight="1" x14ac:dyDescent="0.2">
      <c r="A39" s="6"/>
      <c r="B39" s="63"/>
      <c r="C39" t="s">
        <v>217</v>
      </c>
      <c r="D39" s="51" t="s">
        <v>16</v>
      </c>
      <c r="E39" s="54">
        <v>1600</v>
      </c>
      <c r="F39" s="51" t="s">
        <v>16</v>
      </c>
      <c r="G39" s="51">
        <v>1.4E-2</v>
      </c>
      <c r="I39" s="7"/>
      <c r="J39" s="7"/>
      <c r="K39" s="8"/>
      <c r="L39" s="23"/>
      <c r="M39" s="9"/>
      <c r="N39" s="9"/>
      <c r="O39" s="9"/>
      <c r="P39" s="9"/>
      <c r="Q39" s="10"/>
      <c r="R39" s="6"/>
      <c r="S39" s="7"/>
      <c r="T39" s="7"/>
      <c r="U39" s="7"/>
      <c r="V39" s="7"/>
      <c r="W39" s="7"/>
      <c r="X39" s="7"/>
      <c r="Y39" s="7"/>
      <c r="Z39" s="8"/>
      <c r="AA39" s="21" t="s">
        <v>186</v>
      </c>
      <c r="AB39" s="34">
        <v>480</v>
      </c>
      <c r="AC39" s="35" t="s">
        <v>225</v>
      </c>
      <c r="AD39" s="7"/>
      <c r="AE39" s="7"/>
      <c r="AF39" s="7"/>
      <c r="AG39" s="7"/>
      <c r="AH39" s="7"/>
      <c r="AI39" s="8"/>
    </row>
    <row r="40" spans="1:35" x14ac:dyDescent="0.2">
      <c r="A40" s="6"/>
      <c r="B40" s="63" t="s">
        <v>21</v>
      </c>
      <c r="C40" t="s">
        <v>14</v>
      </c>
      <c r="D40" s="51" t="s">
        <v>16</v>
      </c>
      <c r="E40" s="54">
        <v>2370</v>
      </c>
      <c r="F40" s="51" t="s">
        <v>16</v>
      </c>
      <c r="G40" s="51">
        <v>1.4999999999999999E-2</v>
      </c>
      <c r="I40" s="7"/>
      <c r="J40" s="7"/>
      <c r="K40" s="8"/>
      <c r="L40" s="7"/>
      <c r="M40" s="7"/>
      <c r="N40" s="7"/>
      <c r="O40" s="7"/>
      <c r="P40" s="7"/>
      <c r="Q40" s="8"/>
      <c r="R40" s="26"/>
      <c r="S40" s="4"/>
      <c r="T40" s="4"/>
      <c r="U40" s="4"/>
      <c r="V40" s="5"/>
      <c r="W40" s="4"/>
      <c r="X40" s="4"/>
      <c r="Y40" s="4"/>
      <c r="Z40" s="5"/>
      <c r="AA40" s="21" t="s">
        <v>223</v>
      </c>
      <c r="AB40" s="7">
        <v>241</v>
      </c>
      <c r="AC40" s="7" t="s">
        <v>224</v>
      </c>
      <c r="AD40" s="7"/>
      <c r="AE40" s="7"/>
      <c r="AF40" s="7"/>
      <c r="AG40" s="7"/>
      <c r="AH40" s="7"/>
      <c r="AI40" s="8"/>
    </row>
    <row r="41" spans="1:35" ht="19" x14ac:dyDescent="0.25">
      <c r="A41" s="6"/>
      <c r="B41" s="63"/>
      <c r="C41" t="s">
        <v>15</v>
      </c>
      <c r="D41" s="51" t="s">
        <v>16</v>
      </c>
      <c r="E41" s="54">
        <v>890</v>
      </c>
      <c r="F41" s="51" t="s">
        <v>16</v>
      </c>
      <c r="G41" s="51">
        <v>1.6E-2</v>
      </c>
      <c r="I41" s="7"/>
      <c r="J41" s="7"/>
      <c r="K41" s="8"/>
      <c r="L41" s="24" t="s">
        <v>180</v>
      </c>
      <c r="M41" s="7"/>
      <c r="N41" s="7"/>
      <c r="O41" s="7"/>
      <c r="P41" s="7"/>
      <c r="Q41" s="8"/>
      <c r="R41" s="37" t="s">
        <v>188</v>
      </c>
      <c r="S41" s="7"/>
      <c r="T41" s="7"/>
      <c r="U41" s="7"/>
      <c r="V41" s="8"/>
      <c r="Z41" s="8"/>
      <c r="AA41" s="6"/>
      <c r="AB41" s="7"/>
      <c r="AC41" s="7"/>
      <c r="AD41" s="7"/>
      <c r="AE41" s="7"/>
      <c r="AF41" s="7"/>
      <c r="AG41" s="7"/>
      <c r="AH41" s="7"/>
      <c r="AI41" s="8"/>
    </row>
    <row r="42" spans="1:35" x14ac:dyDescent="0.2">
      <c r="A42" s="6"/>
      <c r="B42" s="63"/>
      <c r="C42" t="s">
        <v>279</v>
      </c>
      <c r="D42" s="51" t="s">
        <v>16</v>
      </c>
      <c r="E42" s="54">
        <v>1201</v>
      </c>
      <c r="F42" s="51" t="s">
        <v>16</v>
      </c>
      <c r="G42" s="51">
        <v>3.2000000000000001E-2</v>
      </c>
      <c r="H42" t="s">
        <v>171</v>
      </c>
      <c r="I42" s="7"/>
      <c r="J42" s="7"/>
      <c r="K42" s="8"/>
      <c r="L42" s="7"/>
      <c r="M42" s="12" t="s">
        <v>86</v>
      </c>
      <c r="N42" s="12">
        <v>12.9</v>
      </c>
      <c r="O42" s="32" t="s">
        <v>181</v>
      </c>
      <c r="P42" s="7"/>
      <c r="Q42" s="8"/>
      <c r="R42" s="52"/>
      <c r="S42" s="52" t="s">
        <v>193</v>
      </c>
      <c r="T42" s="28" t="s">
        <v>194</v>
      </c>
      <c r="U42" s="7"/>
      <c r="V42" s="8"/>
      <c r="Z42" s="8"/>
      <c r="AA42" s="6"/>
      <c r="AB42" s="7"/>
      <c r="AC42" s="7"/>
      <c r="AD42" s="7"/>
      <c r="AE42" s="7"/>
      <c r="AF42" s="7"/>
      <c r="AG42" s="7"/>
      <c r="AH42" s="7"/>
      <c r="AI42" s="8"/>
    </row>
    <row r="43" spans="1:35" x14ac:dyDescent="0.2">
      <c r="A43" s="6"/>
      <c r="B43" s="63"/>
      <c r="C43" t="s">
        <v>280</v>
      </c>
      <c r="D43" s="51" t="s">
        <v>16</v>
      </c>
      <c r="E43" s="54">
        <v>830</v>
      </c>
      <c r="F43" s="51" t="s">
        <v>16</v>
      </c>
      <c r="G43" s="51">
        <v>0.06</v>
      </c>
      <c r="I43" s="7"/>
      <c r="J43" s="7"/>
      <c r="K43" s="8"/>
      <c r="L43" s="7"/>
      <c r="M43" s="12" t="s">
        <v>85</v>
      </c>
      <c r="N43" s="12">
        <v>1.29</v>
      </c>
      <c r="O43" s="7"/>
      <c r="P43" s="7"/>
      <c r="Q43" s="8"/>
      <c r="R43" s="38" t="s">
        <v>189</v>
      </c>
      <c r="S43" s="28" t="s">
        <v>190</v>
      </c>
      <c r="T43" s="28" t="s">
        <v>195</v>
      </c>
      <c r="U43" s="7"/>
      <c r="V43" s="8"/>
      <c r="Z43" s="8"/>
      <c r="AA43" s="6"/>
      <c r="AB43" s="7"/>
      <c r="AC43" s="7"/>
      <c r="AD43" s="7"/>
      <c r="AE43" s="7"/>
      <c r="AF43" s="7"/>
      <c r="AG43" s="7"/>
      <c r="AH43" s="7"/>
      <c r="AI43" s="8"/>
    </row>
    <row r="44" spans="1:35" x14ac:dyDescent="0.2">
      <c r="A44" s="6"/>
      <c r="F44" s="29" t="s">
        <v>208</v>
      </c>
      <c r="G44" s="42">
        <f>SUM(G25:G28)</f>
        <v>0.76200000000000001</v>
      </c>
      <c r="I44" s="7"/>
      <c r="J44" s="7"/>
      <c r="K44" s="8"/>
      <c r="L44" s="7"/>
      <c r="M44" s="12" t="s">
        <v>79</v>
      </c>
      <c r="N44" s="12">
        <v>20</v>
      </c>
      <c r="O44" s="7"/>
      <c r="P44" s="7"/>
      <c r="Q44" s="8"/>
      <c r="R44" s="38" t="s">
        <v>191</v>
      </c>
      <c r="S44" s="28" t="s">
        <v>192</v>
      </c>
      <c r="T44" s="28" t="s">
        <v>196</v>
      </c>
      <c r="U44" s="7"/>
      <c r="V44" s="8"/>
      <c r="Z44" s="8"/>
      <c r="AA44" s="6"/>
      <c r="AB44" s="7"/>
      <c r="AC44" s="7"/>
      <c r="AD44" s="7"/>
      <c r="AE44" s="7"/>
      <c r="AF44" s="7"/>
      <c r="AG44" s="7"/>
      <c r="AH44" s="7"/>
      <c r="AI44" s="8"/>
    </row>
    <row r="45" spans="1:35" x14ac:dyDescent="0.2">
      <c r="A45" s="23"/>
      <c r="B45" s="9"/>
      <c r="C45" s="9"/>
      <c r="D45" s="9"/>
      <c r="E45" s="9"/>
      <c r="F45" s="9"/>
      <c r="G45" s="9"/>
      <c r="H45" s="9"/>
      <c r="I45" s="9"/>
      <c r="J45" s="9"/>
      <c r="K45" s="10"/>
      <c r="L45" s="9"/>
      <c r="M45" s="9"/>
      <c r="N45" s="9"/>
      <c r="O45" s="9"/>
      <c r="P45" s="9"/>
      <c r="Q45" s="10"/>
      <c r="R45" s="23"/>
      <c r="S45" s="9"/>
      <c r="T45" s="9"/>
      <c r="U45" s="9"/>
      <c r="V45" s="10"/>
      <c r="W45" s="9"/>
      <c r="X45" s="9"/>
      <c r="Y45" s="9"/>
      <c r="Z45" s="10"/>
      <c r="AA45" s="23"/>
      <c r="AB45" s="9"/>
      <c r="AC45" s="9"/>
      <c r="AD45" s="9"/>
      <c r="AE45" s="9"/>
      <c r="AF45" s="9"/>
      <c r="AG45" s="9"/>
      <c r="AH45" s="9"/>
      <c r="AI45" s="10"/>
    </row>
    <row r="46" spans="1:35" x14ac:dyDescent="0.2">
      <c r="K46" s="5"/>
      <c r="Q46" s="5"/>
      <c r="V46" s="5"/>
      <c r="Z46" s="5"/>
      <c r="AA46" s="26"/>
      <c r="AB46" s="4"/>
      <c r="AC46" s="4"/>
      <c r="AD46" s="4"/>
      <c r="AE46" s="4"/>
      <c r="AF46" s="4"/>
      <c r="AG46" s="4"/>
      <c r="AH46" s="4"/>
      <c r="AI46" s="5"/>
    </row>
    <row r="47" spans="1:35" ht="19" x14ac:dyDescent="0.25">
      <c r="A47" s="1" t="s">
        <v>173</v>
      </c>
      <c r="K47" s="8"/>
      <c r="L47" s="1" t="s">
        <v>175</v>
      </c>
      <c r="Q47" s="8"/>
      <c r="R47" s="1" t="s">
        <v>182</v>
      </c>
      <c r="T47" s="29" t="s">
        <v>197</v>
      </c>
      <c r="U47" s="3">
        <f>SUM(T58,T70,T82)</f>
        <v>85.199999999999989</v>
      </c>
      <c r="V47" s="8"/>
      <c r="W47" s="1" t="s">
        <v>75</v>
      </c>
      <c r="Z47" s="8"/>
      <c r="AA47" s="44" t="s">
        <v>185</v>
      </c>
      <c r="AB47" s="7"/>
      <c r="AC47" s="7"/>
      <c r="AD47" s="7"/>
      <c r="AE47" s="7"/>
      <c r="AF47" s="7"/>
      <c r="AG47" s="7"/>
      <c r="AH47" s="7"/>
      <c r="AI47" s="8"/>
    </row>
    <row r="48" spans="1:35" x14ac:dyDescent="0.2">
      <c r="B48" s="3" t="s">
        <v>5</v>
      </c>
      <c r="D48" s="29" t="s">
        <v>174</v>
      </c>
      <c r="E48" s="3">
        <f>SUM(D54,G50)</f>
        <v>64.031770714523105</v>
      </c>
      <c r="K48" s="8"/>
      <c r="L48" s="29" t="s">
        <v>66</v>
      </c>
      <c r="Q48" s="8"/>
      <c r="R48" s="3" t="s">
        <v>78</v>
      </c>
      <c r="V48" s="8"/>
      <c r="X48" t="s">
        <v>219</v>
      </c>
      <c r="Y48">
        <f>(100000/19422.03)*100</f>
        <v>514.87923764920561</v>
      </c>
      <c r="Z48" s="8" t="s">
        <v>287</v>
      </c>
      <c r="AA48" s="6"/>
      <c r="AB48" s="7"/>
      <c r="AC48" s="7"/>
      <c r="AD48" s="7"/>
      <c r="AE48" s="7"/>
      <c r="AF48" s="7"/>
      <c r="AG48" s="7"/>
      <c r="AH48" s="7"/>
      <c r="AI48" s="8"/>
    </row>
    <row r="49" spans="1:35" x14ac:dyDescent="0.2">
      <c r="C49" t="s">
        <v>22</v>
      </c>
      <c r="D49">
        <f>N25*G25</f>
        <v>260931.20000000001</v>
      </c>
      <c r="F49" t="s">
        <v>206</v>
      </c>
      <c r="G49">
        <v>0.3</v>
      </c>
      <c r="K49" s="8"/>
      <c r="M49" t="s">
        <v>67</v>
      </c>
      <c r="N49">
        <f>N25*G34</f>
        <v>8154.1</v>
      </c>
      <c r="Q49" s="8"/>
      <c r="V49" s="8"/>
      <c r="X49" t="s">
        <v>76</v>
      </c>
      <c r="Y49">
        <f>Y48/100/100</f>
        <v>5.1487923764920562E-2</v>
      </c>
      <c r="Z49" s="8"/>
      <c r="AA49" s="6"/>
      <c r="AB49" s="12" t="s">
        <v>5</v>
      </c>
      <c r="AC49" s="7"/>
      <c r="AD49" s="7"/>
      <c r="AE49" s="7"/>
      <c r="AF49" s="7"/>
      <c r="AG49" s="7"/>
      <c r="AH49" s="7"/>
      <c r="AI49" s="8"/>
    </row>
    <row r="50" spans="1:35" x14ac:dyDescent="0.2">
      <c r="C50" t="s">
        <v>23</v>
      </c>
      <c r="D50">
        <v>0.02</v>
      </c>
      <c r="E50" s="16" t="s">
        <v>41</v>
      </c>
      <c r="F50" t="s">
        <v>207</v>
      </c>
      <c r="G50" s="18">
        <f>G49*D54</f>
        <v>14.776562472582256</v>
      </c>
      <c r="K50" s="8"/>
      <c r="M50" t="s">
        <v>48</v>
      </c>
      <c r="N50">
        <f>N49/E34</f>
        <v>3.4405485232067514</v>
      </c>
      <c r="Q50" s="8"/>
      <c r="S50" t="s">
        <v>204</v>
      </c>
      <c r="T50">
        <v>8</v>
      </c>
      <c r="U50" t="s">
        <v>286</v>
      </c>
      <c r="V50" s="8"/>
      <c r="X50" t="s">
        <v>77</v>
      </c>
      <c r="Y50">
        <f>1/Y49</f>
        <v>19.422029999999999</v>
      </c>
      <c r="Z50" s="8"/>
      <c r="AA50" s="6"/>
      <c r="AB50" s="7"/>
      <c r="AC50" s="7" t="s">
        <v>119</v>
      </c>
      <c r="AD50" s="13">
        <f>650*10000</f>
        <v>6500000</v>
      </c>
      <c r="AE50" s="7"/>
      <c r="AF50" s="7"/>
      <c r="AG50" s="7"/>
      <c r="AH50" s="7"/>
      <c r="AI50" s="8"/>
    </row>
    <row r="51" spans="1:35" x14ac:dyDescent="0.2">
      <c r="C51" t="s">
        <v>24</v>
      </c>
      <c r="D51">
        <v>0.3</v>
      </c>
      <c r="K51" s="8"/>
      <c r="M51" t="s">
        <v>68</v>
      </c>
      <c r="N51">
        <f>N50/X25/T24</f>
        <v>0.34439925157224738</v>
      </c>
      <c r="Q51" s="8"/>
      <c r="S51" t="s">
        <v>205</v>
      </c>
      <c r="T51">
        <f>T50*1000</f>
        <v>8000</v>
      </c>
      <c r="U51" t="s">
        <v>178</v>
      </c>
      <c r="V51" s="8"/>
      <c r="X51" t="s">
        <v>221</v>
      </c>
      <c r="Y51">
        <f>SUM(G40:G42)</f>
        <v>6.3E-2</v>
      </c>
      <c r="Z51" s="8"/>
      <c r="AA51" s="6"/>
      <c r="AB51" s="7"/>
      <c r="AC51" s="7" t="s">
        <v>111</v>
      </c>
      <c r="AD51">
        <v>0.79600000000000004</v>
      </c>
      <c r="AE51" s="7" t="s">
        <v>178</v>
      </c>
      <c r="AF51" s="7"/>
      <c r="AG51" s="7"/>
      <c r="AH51" s="7"/>
      <c r="AI51" s="8"/>
    </row>
    <row r="52" spans="1:35" x14ac:dyDescent="0.2">
      <c r="C52" t="s">
        <v>25</v>
      </c>
      <c r="D52" s="18">
        <f>F25*(1-(SUM(D50:D51)))</f>
        <v>6017999.9999999991</v>
      </c>
      <c r="K52" s="8"/>
      <c r="M52" t="s">
        <v>69</v>
      </c>
      <c r="N52">
        <f>(70*(N51*T24)^0.75)*365</f>
        <v>199570.77280099536</v>
      </c>
      <c r="Q52" s="8"/>
      <c r="S52" t="s">
        <v>203</v>
      </c>
      <c r="T52">
        <f>T51/N44</f>
        <v>400</v>
      </c>
      <c r="V52" s="8"/>
      <c r="X52" s="3" t="s">
        <v>220</v>
      </c>
      <c r="Y52" s="3">
        <f>Y51*Y50*N38</f>
        <v>1389.99584304</v>
      </c>
      <c r="Z52" s="8"/>
      <c r="AA52" s="6"/>
      <c r="AB52" s="7"/>
      <c r="AC52" s="7" t="s">
        <v>112</v>
      </c>
      <c r="AD52">
        <v>0.1</v>
      </c>
      <c r="AE52" s="7" t="s">
        <v>113</v>
      </c>
      <c r="AF52" s="7"/>
      <c r="AG52" s="7"/>
      <c r="AH52" s="7"/>
      <c r="AI52" s="8"/>
    </row>
    <row r="53" spans="1:35" x14ac:dyDescent="0.2">
      <c r="C53" t="s">
        <v>26</v>
      </c>
      <c r="D53" s="18">
        <f>D49/D52</f>
        <v>4.3358457959454977E-2</v>
      </c>
      <c r="K53" s="8"/>
      <c r="M53" t="s">
        <v>124</v>
      </c>
      <c r="N53">
        <v>0.9</v>
      </c>
      <c r="O53" s="60">
        <f>SUM(N53:N54)</f>
        <v>1</v>
      </c>
      <c r="Q53" s="8"/>
      <c r="S53" t="s">
        <v>202</v>
      </c>
      <c r="T53">
        <v>551</v>
      </c>
      <c r="V53" s="8"/>
      <c r="Z53" s="8"/>
      <c r="AA53" s="6"/>
      <c r="AB53" s="7"/>
      <c r="AC53" s="7" t="s">
        <v>198</v>
      </c>
      <c r="AD53">
        <f>(AD50)*AD51*(1-AD52)/0.45</f>
        <v>10348000</v>
      </c>
      <c r="AE53" s="7" t="s">
        <v>199</v>
      </c>
      <c r="AF53" s="7"/>
      <c r="AG53" s="7"/>
      <c r="AH53" s="7"/>
      <c r="AI53" s="8"/>
    </row>
    <row r="54" spans="1:35" x14ac:dyDescent="0.2">
      <c r="C54" t="s">
        <v>27</v>
      </c>
      <c r="D54" s="18">
        <f>D53*N38</f>
        <v>49.255208241940856</v>
      </c>
      <c r="K54" s="8"/>
      <c r="M54" t="s">
        <v>70</v>
      </c>
      <c r="N54">
        <v>0.1</v>
      </c>
      <c r="O54" s="60"/>
      <c r="Q54" s="8"/>
      <c r="S54" t="s">
        <v>80</v>
      </c>
      <c r="T54">
        <f>T53*N44/1000</f>
        <v>11.02</v>
      </c>
      <c r="V54" s="8"/>
      <c r="W54" s="23"/>
      <c r="X54" s="9"/>
      <c r="Y54" s="9"/>
      <c r="Z54" s="10"/>
      <c r="AA54" s="6"/>
      <c r="AB54" s="7"/>
      <c r="AC54" s="7" t="s">
        <v>114</v>
      </c>
      <c r="AD54">
        <v>0.23</v>
      </c>
      <c r="AE54" s="7"/>
      <c r="AF54" s="7"/>
      <c r="AG54" s="7"/>
      <c r="AH54" s="7"/>
      <c r="AI54" s="8"/>
    </row>
    <row r="55" spans="1:35" x14ac:dyDescent="0.2">
      <c r="A55" s="9"/>
      <c r="B55" s="9"/>
      <c r="C55" s="9"/>
      <c r="D55" s="9"/>
      <c r="E55" s="9"/>
      <c r="F55" s="9"/>
      <c r="G55" s="9"/>
      <c r="H55" s="9"/>
      <c r="I55" s="9"/>
      <c r="J55" s="9"/>
      <c r="K55" s="10"/>
      <c r="Q55" s="8"/>
      <c r="S55" t="s">
        <v>81</v>
      </c>
      <c r="T55">
        <f>AVERAGE(T52,T53)</f>
        <v>475.5</v>
      </c>
      <c r="V55" s="8"/>
      <c r="Z55" s="8"/>
      <c r="AA55" s="6"/>
      <c r="AB55" s="7"/>
      <c r="AC55" s="7" t="s">
        <v>200</v>
      </c>
      <c r="AD55" s="17">
        <f>AD53*(1-AD54)*(D53)</f>
        <v>345478.45868261886</v>
      </c>
      <c r="AE55" s="7"/>
      <c r="AF55" s="7"/>
      <c r="AG55" s="7"/>
      <c r="AH55" s="7"/>
      <c r="AI55" s="8"/>
    </row>
    <row r="56" spans="1:35" x14ac:dyDescent="0.2">
      <c r="K56" s="8"/>
      <c r="M56" t="s">
        <v>71</v>
      </c>
      <c r="N56">
        <f>(N54*N52)/W33</f>
        <v>5.341169609138146E-2</v>
      </c>
      <c r="Q56" s="8"/>
      <c r="S56" t="s">
        <v>82</v>
      </c>
      <c r="T56">
        <f>T55*N38</f>
        <v>540168</v>
      </c>
      <c r="V56" s="8"/>
      <c r="Z56" s="8"/>
      <c r="AA56" s="6"/>
      <c r="AB56" s="7"/>
      <c r="AC56" s="7" t="s">
        <v>201</v>
      </c>
      <c r="AD56">
        <f>AD55*N31</f>
        <v>392463529.06345505</v>
      </c>
      <c r="AE56" s="7"/>
      <c r="AF56" s="7"/>
      <c r="AG56" s="7"/>
      <c r="AH56" s="7"/>
      <c r="AI56" s="8"/>
    </row>
    <row r="57" spans="1:35" ht="19" x14ac:dyDescent="0.25">
      <c r="B57" s="3" t="s">
        <v>107</v>
      </c>
      <c r="D57" s="3" t="s">
        <v>43</v>
      </c>
      <c r="E57" s="53">
        <f>D64+(D72-G69)+(D80-G77)+G64+(D88+G83)</f>
        <v>120.10827171695908</v>
      </c>
      <c r="K57" s="8"/>
      <c r="M57" t="s">
        <v>72</v>
      </c>
      <c r="N57">
        <f>SUM(N55:N56)</f>
        <v>5.341169609138146E-2</v>
      </c>
      <c r="Q57" s="8"/>
      <c r="S57" t="s">
        <v>83</v>
      </c>
      <c r="T57">
        <f>T56/N43</f>
        <v>418734.8837209302</v>
      </c>
      <c r="V57" s="8"/>
      <c r="W57" s="27"/>
      <c r="Z57" s="8"/>
      <c r="AA57" s="6"/>
      <c r="AB57" s="7"/>
      <c r="AC57" s="7"/>
      <c r="AD57" s="7"/>
      <c r="AE57" s="7"/>
      <c r="AF57" s="7"/>
      <c r="AG57" s="7"/>
      <c r="AH57" s="7"/>
      <c r="AI57" s="8"/>
    </row>
    <row r="58" spans="1:35" x14ac:dyDescent="0.2">
      <c r="C58" s="3" t="s">
        <v>318</v>
      </c>
      <c r="K58" s="8"/>
      <c r="M58" s="3" t="s">
        <v>73</v>
      </c>
      <c r="N58" s="3">
        <f>N57*N31</f>
        <v>60.675686759809338</v>
      </c>
      <c r="Q58" s="8"/>
      <c r="S58" t="s">
        <v>84</v>
      </c>
      <c r="T58">
        <f>T57/10000</f>
        <v>41.873488372093021</v>
      </c>
      <c r="V58" s="8"/>
      <c r="X58" s="7"/>
      <c r="Y58" s="7"/>
      <c r="Z58" s="8"/>
      <c r="AA58" s="6"/>
      <c r="AB58" s="12" t="s">
        <v>116</v>
      </c>
      <c r="AC58" s="7"/>
      <c r="AD58" s="7"/>
      <c r="AE58" s="7"/>
      <c r="AF58" s="7"/>
      <c r="AG58" s="7"/>
      <c r="AH58" s="7"/>
      <c r="AI58" s="8"/>
    </row>
    <row r="59" spans="1:35" x14ac:dyDescent="0.2">
      <c r="C59" t="s">
        <v>22</v>
      </c>
      <c r="D59">
        <f>G28*N25</f>
        <v>171236.1</v>
      </c>
      <c r="F59" t="s">
        <v>210</v>
      </c>
      <c r="K59" s="8"/>
      <c r="M59" s="3" t="s">
        <v>74</v>
      </c>
      <c r="N59" s="3">
        <f>N51*N31</f>
        <v>391.23754978607303</v>
      </c>
      <c r="Q59" s="8"/>
      <c r="V59" s="8"/>
      <c r="X59" s="39"/>
      <c r="Y59" s="7"/>
      <c r="Z59" s="8"/>
      <c r="AA59" s="6"/>
      <c r="AB59" s="7"/>
      <c r="AC59" s="7" t="s">
        <v>110</v>
      </c>
      <c r="AD59" s="13">
        <f>650*10000</f>
        <v>6500000</v>
      </c>
      <c r="AE59" s="7"/>
      <c r="AF59" s="7"/>
      <c r="AH59" s="7"/>
      <c r="AI59" s="8"/>
    </row>
    <row r="60" spans="1:35" x14ac:dyDescent="0.2">
      <c r="C60" t="s">
        <v>23</v>
      </c>
      <c r="D60">
        <v>0.1</v>
      </c>
      <c r="F60" t="s">
        <v>42</v>
      </c>
      <c r="G60">
        <v>0.1</v>
      </c>
      <c r="K60" s="8"/>
      <c r="M60" s="3" t="s">
        <v>123</v>
      </c>
      <c r="N60" s="3">
        <f>N59*(N52/N51)</f>
        <v>226712397.90193072</v>
      </c>
      <c r="Q60" s="8"/>
      <c r="V60" s="8"/>
      <c r="W60" s="7"/>
      <c r="X60" s="7"/>
      <c r="Y60" s="7"/>
      <c r="Z60" s="8"/>
      <c r="AA60" s="6"/>
      <c r="AB60" s="7"/>
      <c r="AC60" s="7" t="s">
        <v>111</v>
      </c>
      <c r="AD60" s="7">
        <v>0.6</v>
      </c>
      <c r="AE60" t="s">
        <v>231</v>
      </c>
      <c r="AF60" s="7"/>
      <c r="AG60" s="7"/>
      <c r="AH60" s="7"/>
      <c r="AI60" s="8"/>
    </row>
    <row r="61" spans="1:35" x14ac:dyDescent="0.2">
      <c r="C61" t="s">
        <v>24</v>
      </c>
      <c r="D61">
        <v>0.3</v>
      </c>
      <c r="F61" t="s">
        <v>6</v>
      </c>
      <c r="G61">
        <v>0</v>
      </c>
      <c r="K61" s="8"/>
      <c r="Q61" s="8"/>
      <c r="R61" s="3" t="s">
        <v>94</v>
      </c>
      <c r="V61" s="8"/>
      <c r="X61" s="55"/>
      <c r="Y61" s="45"/>
      <c r="Z61" s="8"/>
      <c r="AA61" s="6"/>
      <c r="AB61" s="7"/>
      <c r="AC61" s="7" t="s">
        <v>112</v>
      </c>
      <c r="AD61" s="7">
        <v>0.1</v>
      </c>
      <c r="AF61" s="7"/>
      <c r="AG61" s="7"/>
      <c r="AH61" s="7"/>
      <c r="AI61" s="8"/>
    </row>
    <row r="62" spans="1:35" x14ac:dyDescent="0.2">
      <c r="C62" t="s">
        <v>25</v>
      </c>
      <c r="D62" s="18">
        <f>F28*(1-(D60+D61))</f>
        <v>2850000</v>
      </c>
      <c r="F62" t="s">
        <v>247</v>
      </c>
      <c r="G62">
        <v>0</v>
      </c>
      <c r="K62" s="8"/>
      <c r="Q62" s="8"/>
      <c r="S62" t="s">
        <v>95</v>
      </c>
      <c r="T62">
        <v>30</v>
      </c>
      <c r="U62" s="16" t="s">
        <v>178</v>
      </c>
      <c r="V62" s="8"/>
      <c r="X62" s="40"/>
      <c r="Y62" s="3"/>
      <c r="Z62" s="8"/>
      <c r="AA62" s="6"/>
      <c r="AB62" s="7"/>
      <c r="AC62" s="7" t="s">
        <v>118</v>
      </c>
      <c r="AD62">
        <f>(AD59)*AD60*(1-AD61)/0.45</f>
        <v>7800000</v>
      </c>
      <c r="AF62" s="7"/>
      <c r="AG62" s="7"/>
      <c r="AH62" s="7"/>
      <c r="AI62" s="8"/>
    </row>
    <row r="63" spans="1:35" x14ac:dyDescent="0.2">
      <c r="C63" t="s">
        <v>26</v>
      </c>
      <c r="D63" s="18">
        <f>D59/D62</f>
        <v>6.0082842105263157E-2</v>
      </c>
      <c r="F63" t="s">
        <v>281</v>
      </c>
      <c r="G63">
        <v>0.1</v>
      </c>
      <c r="K63" s="8"/>
      <c r="Q63" s="8"/>
      <c r="S63" t="s">
        <v>96</v>
      </c>
      <c r="T63">
        <v>1.5</v>
      </c>
      <c r="U63" s="45" t="s">
        <v>250</v>
      </c>
      <c r="V63" s="8"/>
      <c r="X63" s="11"/>
      <c r="Z63" s="8"/>
      <c r="AA63" s="6"/>
      <c r="AB63" s="7"/>
      <c r="AC63" s="7" t="s">
        <v>114</v>
      </c>
      <c r="AD63" s="7">
        <v>0.5</v>
      </c>
      <c r="AE63" t="s">
        <v>232</v>
      </c>
      <c r="AF63" s="7"/>
      <c r="AG63" s="7"/>
      <c r="AH63" s="7"/>
      <c r="AI63" s="8"/>
    </row>
    <row r="64" spans="1:35" x14ac:dyDescent="0.2">
      <c r="C64" t="s">
        <v>27</v>
      </c>
      <c r="D64" s="18">
        <f>D63*N38</f>
        <v>68.254108631578944</v>
      </c>
      <c r="F64" t="s">
        <v>207</v>
      </c>
      <c r="G64" s="18">
        <f>G60*D64</f>
        <v>6.8254108631578951</v>
      </c>
      <c r="K64" s="8"/>
      <c r="L64" s="29" t="s">
        <v>176</v>
      </c>
      <c r="Q64" s="8"/>
      <c r="S64" t="s">
        <v>97</v>
      </c>
      <c r="T64">
        <f>T63*T62</f>
        <v>45</v>
      </c>
      <c r="U64" s="16"/>
      <c r="V64" s="8"/>
      <c r="Z64" s="8"/>
      <c r="AA64" s="6"/>
      <c r="AB64" s="7"/>
      <c r="AC64" s="7" t="s">
        <v>115</v>
      </c>
      <c r="AD64" s="17">
        <f>AD62*(1-AD63)*D63</f>
        <v>234323.08421052631</v>
      </c>
      <c r="AE64" s="7"/>
      <c r="AF64" s="7"/>
      <c r="AG64" s="7"/>
      <c r="AH64" s="7"/>
      <c r="AI64" s="8"/>
    </row>
    <row r="65" spans="3:35" x14ac:dyDescent="0.2">
      <c r="K65" s="8"/>
      <c r="L65" s="30"/>
      <c r="M65" t="s">
        <v>51</v>
      </c>
      <c r="N65">
        <f>N25*G37</f>
        <v>815.41</v>
      </c>
      <c r="Q65" s="8"/>
      <c r="S65" t="s">
        <v>98</v>
      </c>
      <c r="T65">
        <v>2</v>
      </c>
      <c r="U65" s="16" t="s">
        <v>178</v>
      </c>
      <c r="V65" s="8"/>
      <c r="Z65" s="8"/>
      <c r="AA65" s="6"/>
      <c r="AB65" s="7"/>
      <c r="AC65" s="7" t="s">
        <v>117</v>
      </c>
      <c r="AD65" s="7">
        <f>AD64*N31</f>
        <v>266191023.66315788</v>
      </c>
      <c r="AE65" s="7"/>
      <c r="AF65" s="7"/>
      <c r="AG65" s="7"/>
      <c r="AH65" s="7"/>
      <c r="AI65" s="8"/>
    </row>
    <row r="66" spans="3:35" x14ac:dyDescent="0.2">
      <c r="C66" s="3" t="s">
        <v>312</v>
      </c>
      <c r="K66" s="8"/>
      <c r="M66" t="s">
        <v>48</v>
      </c>
      <c r="N66">
        <f>N65/E37</f>
        <v>0.60851492537313434</v>
      </c>
      <c r="Q66" s="8"/>
      <c r="S66" t="s">
        <v>89</v>
      </c>
      <c r="T66">
        <v>4</v>
      </c>
      <c r="V66" s="8"/>
      <c r="Z66" s="8"/>
      <c r="AA66" s="6"/>
      <c r="AB66" s="7"/>
      <c r="AC66" s="7"/>
      <c r="AD66" s="7"/>
      <c r="AE66" s="7"/>
      <c r="AF66" s="7"/>
      <c r="AG66" s="7"/>
      <c r="AH66" s="7"/>
      <c r="AI66" s="8"/>
    </row>
    <row r="67" spans="3:35" x14ac:dyDescent="0.2">
      <c r="C67" t="s">
        <v>22</v>
      </c>
      <c r="D67">
        <f>G27*N25</f>
        <v>17939.02</v>
      </c>
      <c r="F67" s="59" t="s">
        <v>245</v>
      </c>
      <c r="G67" s="62">
        <v>1</v>
      </c>
      <c r="K67" s="8"/>
      <c r="M67" t="s">
        <v>54</v>
      </c>
      <c r="N67">
        <f>N66/X24/T25</f>
        <v>1.8962995031821347E-2</v>
      </c>
      <c r="Q67" s="8"/>
      <c r="S67" t="s">
        <v>99</v>
      </c>
      <c r="T67">
        <f>T66*T65*T64</f>
        <v>360</v>
      </c>
      <c r="V67" s="8"/>
      <c r="Z67" s="8"/>
      <c r="AA67" s="6"/>
      <c r="AB67" s="12" t="s">
        <v>120</v>
      </c>
      <c r="AC67" s="7"/>
      <c r="AD67" s="7"/>
      <c r="AE67" s="7"/>
      <c r="AF67" s="7"/>
      <c r="AG67" s="7"/>
      <c r="AH67" s="7"/>
      <c r="AI67" s="8"/>
    </row>
    <row r="68" spans="3:35" x14ac:dyDescent="0.2">
      <c r="C68" t="s">
        <v>23</v>
      </c>
      <c r="D68">
        <v>0.1</v>
      </c>
      <c r="F68" s="59"/>
      <c r="G68" s="62"/>
      <c r="K68" s="8"/>
      <c r="M68" t="s">
        <v>55</v>
      </c>
      <c r="N68">
        <f>(70*(N67*T25)^0.75)*365</f>
        <v>124576.45546570697</v>
      </c>
      <c r="Q68" s="8"/>
      <c r="S68" t="s">
        <v>100</v>
      </c>
      <c r="T68">
        <f>T67*N44/1000</f>
        <v>7.2</v>
      </c>
      <c r="V68" s="8"/>
      <c r="Z68" s="8"/>
      <c r="AA68" s="6"/>
      <c r="AB68" s="7"/>
      <c r="AC68" s="7" t="s">
        <v>110</v>
      </c>
      <c r="AD68" s="13">
        <f>650*10000</f>
        <v>6500000</v>
      </c>
      <c r="AE68" s="7"/>
      <c r="AF68" s="7"/>
      <c r="AG68" s="7" t="s">
        <v>222</v>
      </c>
      <c r="AH68" s="7"/>
      <c r="AI68" s="8"/>
    </row>
    <row r="69" spans="3:35" x14ac:dyDescent="0.2">
      <c r="C69" t="s">
        <v>24</v>
      </c>
      <c r="D69">
        <v>0.3</v>
      </c>
      <c r="F69" s="3" t="s">
        <v>246</v>
      </c>
      <c r="G69" s="3">
        <f>G67*D72</f>
        <v>15.299344384384385</v>
      </c>
      <c r="K69" s="8"/>
      <c r="M69" t="s">
        <v>258</v>
      </c>
      <c r="N69">
        <v>0.6</v>
      </c>
      <c r="O69" s="60">
        <f>SUM(N69:N71)</f>
        <v>1</v>
      </c>
      <c r="P69" t="s">
        <v>241</v>
      </c>
      <c r="Q69" s="8"/>
      <c r="S69" t="s">
        <v>101</v>
      </c>
      <c r="T69">
        <f>T67*N38</f>
        <v>408960</v>
      </c>
      <c r="V69" s="8"/>
      <c r="Z69" s="8"/>
      <c r="AA69" s="6"/>
      <c r="AB69" s="7"/>
      <c r="AC69" s="7" t="s">
        <v>111</v>
      </c>
      <c r="AD69" s="7">
        <v>0.59</v>
      </c>
      <c r="AE69" s="7" t="s">
        <v>226</v>
      </c>
      <c r="AF69" s="7"/>
      <c r="AG69" s="7"/>
      <c r="AH69" s="7"/>
      <c r="AI69" s="8"/>
    </row>
    <row r="70" spans="3:35" x14ac:dyDescent="0.2">
      <c r="C70" t="s">
        <v>25</v>
      </c>
      <c r="D70" s="18">
        <f>F27*(1-SUM(D68:D69))</f>
        <v>1332000</v>
      </c>
      <c r="K70" s="8"/>
      <c r="M70" t="s">
        <v>259</v>
      </c>
      <c r="N70">
        <v>0.1</v>
      </c>
      <c r="O70" s="60"/>
      <c r="Q70" s="8"/>
      <c r="S70" t="s">
        <v>102</v>
      </c>
      <c r="T70">
        <v>0</v>
      </c>
      <c r="U70" t="s">
        <v>209</v>
      </c>
      <c r="V70" s="8"/>
      <c r="Z70" s="8"/>
      <c r="AA70" s="6"/>
      <c r="AB70" s="7"/>
      <c r="AC70" s="7" t="s">
        <v>112</v>
      </c>
      <c r="AD70" s="7">
        <v>0.1</v>
      </c>
      <c r="AE70" s="7"/>
      <c r="AF70" s="7"/>
      <c r="AG70" s="7"/>
      <c r="AH70" s="7"/>
      <c r="AI70" s="8"/>
    </row>
    <row r="71" spans="3:35" x14ac:dyDescent="0.2">
      <c r="C71" t="s">
        <v>26</v>
      </c>
      <c r="D71" s="18">
        <f>D67/D70</f>
        <v>1.3467732732732733E-2</v>
      </c>
      <c r="K71" s="8"/>
      <c r="M71" t="s">
        <v>260</v>
      </c>
      <c r="N71">
        <v>0.3</v>
      </c>
      <c r="O71" s="60"/>
      <c r="Q71" s="8"/>
      <c r="V71" s="8"/>
      <c r="Z71" s="8"/>
      <c r="AA71" s="6"/>
      <c r="AB71" s="7"/>
      <c r="AC71" s="7" t="s">
        <v>118</v>
      </c>
      <c r="AD71">
        <f>(AD68)*AD69*(1-AD70)/0.45</f>
        <v>7670000</v>
      </c>
      <c r="AE71" s="7"/>
      <c r="AF71" s="7"/>
      <c r="AG71" s="7"/>
      <c r="AH71" s="7"/>
      <c r="AI71" s="8"/>
    </row>
    <row r="72" spans="3:35" x14ac:dyDescent="0.2">
      <c r="C72" t="s">
        <v>27</v>
      </c>
      <c r="D72" s="18">
        <f>D71*N38</f>
        <v>15.299344384384385</v>
      </c>
      <c r="K72" s="8"/>
      <c r="M72" t="s">
        <v>49</v>
      </c>
      <c r="N72">
        <f>N69*N68/W31</f>
        <v>7.3539820227690067E-2</v>
      </c>
      <c r="Q72" s="8"/>
      <c r="S72" s="16" t="s">
        <v>183</v>
      </c>
      <c r="V72" s="8"/>
      <c r="Z72" s="8"/>
      <c r="AA72" s="6"/>
      <c r="AB72" s="7"/>
      <c r="AC72" s="7" t="s">
        <v>114</v>
      </c>
      <c r="AD72" s="7">
        <v>0.52</v>
      </c>
      <c r="AE72" s="7" t="s">
        <v>227</v>
      </c>
      <c r="AF72" s="7"/>
      <c r="AG72" s="7"/>
      <c r="AH72" s="7"/>
      <c r="AI72" s="8"/>
    </row>
    <row r="73" spans="3:35" x14ac:dyDescent="0.2">
      <c r="K73" s="8"/>
      <c r="M73" t="s">
        <v>50</v>
      </c>
      <c r="N73">
        <f>N70*N68/W32</f>
        <v>8.2736571339381663E-3</v>
      </c>
      <c r="Q73" s="8"/>
      <c r="V73" s="8"/>
      <c r="Z73" s="8"/>
      <c r="AA73" s="6"/>
      <c r="AB73" s="7"/>
      <c r="AC73" s="7" t="s">
        <v>115</v>
      </c>
      <c r="AD73" s="17">
        <f>AD71*(1-AD72)*D71</f>
        <v>49582.804828828834</v>
      </c>
      <c r="AE73" s="7"/>
      <c r="AF73" s="7"/>
      <c r="AG73" s="7"/>
      <c r="AH73" s="7"/>
      <c r="AI73" s="8"/>
    </row>
    <row r="74" spans="3:35" x14ac:dyDescent="0.2">
      <c r="C74" s="3" t="s">
        <v>9</v>
      </c>
      <c r="F74" s="59" t="s">
        <v>248</v>
      </c>
      <c r="G74" s="60">
        <v>1</v>
      </c>
      <c r="K74" s="8"/>
      <c r="M74" t="s">
        <v>254</v>
      </c>
      <c r="N74">
        <f>SUM(N72:N73)</f>
        <v>8.1813477361628237E-2</v>
      </c>
      <c r="Q74" s="8"/>
      <c r="V74" s="8"/>
      <c r="Z74" s="8"/>
      <c r="AA74" s="6"/>
      <c r="AB74" s="7"/>
      <c r="AC74" s="7" t="s">
        <v>117</v>
      </c>
      <c r="AD74" s="7">
        <f>$N$31*AD73</f>
        <v>56326066.285549559</v>
      </c>
      <c r="AE74" s="7"/>
      <c r="AF74" s="7"/>
      <c r="AG74" s="7"/>
      <c r="AH74" s="7"/>
      <c r="AI74" s="8"/>
    </row>
    <row r="75" spans="3:35" x14ac:dyDescent="0.2">
      <c r="C75" t="s">
        <v>22</v>
      </c>
      <c r="D75">
        <f>G32*N25</f>
        <v>12231.15</v>
      </c>
      <c r="F75" s="59"/>
      <c r="G75" s="60"/>
      <c r="K75" s="8"/>
      <c r="M75" s="3" t="s">
        <v>255</v>
      </c>
      <c r="N75" s="3">
        <f>N74*N31</f>
        <v>92.940110282809684</v>
      </c>
      <c r="Q75" s="8"/>
      <c r="R75" s="3" t="s">
        <v>184</v>
      </c>
      <c r="V75" s="8"/>
      <c r="Z75" s="8"/>
      <c r="AA75" s="6"/>
      <c r="AB75" s="7"/>
      <c r="AC75" s="7"/>
      <c r="AD75" s="7"/>
      <c r="AE75" s="7"/>
      <c r="AF75" s="7"/>
      <c r="AG75" s="7"/>
      <c r="AH75" s="7"/>
      <c r="AI75" s="8"/>
    </row>
    <row r="76" spans="3:35" x14ac:dyDescent="0.2">
      <c r="C76" t="s">
        <v>23</v>
      </c>
      <c r="D76">
        <v>0</v>
      </c>
      <c r="F76" s="59"/>
      <c r="G76" s="60"/>
      <c r="K76" s="8"/>
      <c r="M76" s="3" t="s">
        <v>256</v>
      </c>
      <c r="N76" s="3">
        <f>N67*N31</f>
        <v>21.54196235614905</v>
      </c>
      <c r="Q76" s="8"/>
      <c r="S76" t="s">
        <v>87</v>
      </c>
      <c r="T76">
        <v>1.5</v>
      </c>
      <c r="U76" s="16" t="s">
        <v>178</v>
      </c>
      <c r="V76" s="8"/>
      <c r="Z76" s="8"/>
      <c r="AA76" s="6"/>
      <c r="AB76" s="12" t="s">
        <v>134</v>
      </c>
      <c r="AC76" s="7"/>
      <c r="AD76" s="7"/>
      <c r="AE76" s="7"/>
      <c r="AF76" s="7"/>
      <c r="AG76" s="7"/>
      <c r="AH76" s="7"/>
      <c r="AI76" s="8"/>
    </row>
    <row r="77" spans="3:35" x14ac:dyDescent="0.2">
      <c r="C77" t="s">
        <v>24</v>
      </c>
      <c r="D77">
        <v>0.3</v>
      </c>
      <c r="F77" t="s">
        <v>249</v>
      </c>
      <c r="G77">
        <f>G74*D80</f>
        <v>4.0344327526132409</v>
      </c>
      <c r="K77" s="8"/>
      <c r="Q77" s="8"/>
      <c r="S77" t="s">
        <v>88</v>
      </c>
      <c r="T77">
        <v>82</v>
      </c>
      <c r="U77" s="16" t="s">
        <v>103</v>
      </c>
      <c r="V77" s="8"/>
      <c r="Z77" s="8"/>
      <c r="AA77" s="6"/>
      <c r="AB77" s="7"/>
      <c r="AC77" s="7" t="s">
        <v>125</v>
      </c>
      <c r="AD77">
        <f>((((40+96)/2)/1.28)/1.331)*0.67</f>
        <v>26.742111194590535</v>
      </c>
      <c r="AE77" s="7"/>
      <c r="AF77" s="7" t="s">
        <v>228</v>
      </c>
      <c r="AG77" s="7"/>
      <c r="AH77" s="7"/>
      <c r="AI77" s="8"/>
    </row>
    <row r="78" spans="3:35" x14ac:dyDescent="0.2">
      <c r="C78" t="s">
        <v>25</v>
      </c>
      <c r="D78" s="18">
        <f>F32*(1-SUM(D76:D77))</f>
        <v>3444000</v>
      </c>
      <c r="K78" s="8"/>
      <c r="M78" s="3" t="s">
        <v>243</v>
      </c>
      <c r="Q78" s="8"/>
      <c r="S78" t="s">
        <v>89</v>
      </c>
      <c r="T78">
        <v>4</v>
      </c>
      <c r="U78" s="16"/>
      <c r="V78" s="8"/>
      <c r="Z78" s="8"/>
      <c r="AA78" s="6"/>
      <c r="AB78" s="7"/>
      <c r="AC78" s="7" t="s">
        <v>126</v>
      </c>
      <c r="AD78">
        <f>((40+96)/2)</f>
        <v>68</v>
      </c>
      <c r="AE78" s="7"/>
      <c r="AF78" s="7" t="s">
        <v>229</v>
      </c>
      <c r="AG78" s="7"/>
      <c r="AH78" s="7"/>
      <c r="AI78" s="8"/>
    </row>
    <row r="79" spans="3:35" x14ac:dyDescent="0.2">
      <c r="C79" t="s">
        <v>26</v>
      </c>
      <c r="D79" s="18">
        <f>D75/D78</f>
        <v>3.5514372822299653E-3</v>
      </c>
      <c r="K79" s="8"/>
      <c r="Q79" s="8"/>
      <c r="S79" t="s">
        <v>90</v>
      </c>
      <c r="T79">
        <f>T76*T77*T78</f>
        <v>492</v>
      </c>
      <c r="U79" s="16"/>
      <c r="V79" s="8"/>
      <c r="Z79" s="8"/>
      <c r="AA79" s="6"/>
      <c r="AB79" s="7"/>
      <c r="AC79" s="7" t="s">
        <v>127</v>
      </c>
      <c r="AD79">
        <f>AD78-AD77</f>
        <v>41.257888805409465</v>
      </c>
      <c r="AE79" s="7"/>
      <c r="AF79" s="7" t="s">
        <v>230</v>
      </c>
      <c r="AG79" s="7"/>
      <c r="AH79" s="7"/>
      <c r="AI79" s="8"/>
    </row>
    <row r="80" spans="3:35" x14ac:dyDescent="0.2">
      <c r="C80" t="s">
        <v>27</v>
      </c>
      <c r="D80" s="18">
        <f>D79*N38</f>
        <v>4.0344327526132409</v>
      </c>
      <c r="K80" s="8"/>
      <c r="L80" s="29" t="s">
        <v>257</v>
      </c>
      <c r="Q80" s="8"/>
      <c r="S80" t="s">
        <v>91</v>
      </c>
      <c r="T80">
        <f>T79*N44/1000</f>
        <v>9.84</v>
      </c>
      <c r="U80" s="16"/>
      <c r="V80" s="8"/>
      <c r="Z80" s="8"/>
      <c r="AA80" s="6"/>
      <c r="AB80" s="7"/>
      <c r="AC80" s="7" t="s">
        <v>128</v>
      </c>
      <c r="AD80">
        <f>(AD77)*E41</f>
        <v>23800.478963185575</v>
      </c>
      <c r="AE80" s="7"/>
      <c r="AF80" s="7"/>
      <c r="AG80" s="7"/>
      <c r="AH80" s="7"/>
      <c r="AI80" s="8"/>
    </row>
    <row r="81" spans="1:35" x14ac:dyDescent="0.2">
      <c r="A81" s="7"/>
      <c r="B81" s="7"/>
      <c r="C81" s="7"/>
      <c r="D81" s="7"/>
      <c r="K81" s="8"/>
      <c r="M81" t="s">
        <v>261</v>
      </c>
      <c r="N81">
        <f>N25*G38</f>
        <v>0</v>
      </c>
      <c r="Q81" s="8"/>
      <c r="S81" t="s">
        <v>92</v>
      </c>
      <c r="T81">
        <f>T79*N38</f>
        <v>558912</v>
      </c>
      <c r="U81" s="16"/>
      <c r="V81" s="8"/>
      <c r="Z81" s="8"/>
      <c r="AA81" s="6"/>
      <c r="AB81" s="7"/>
      <c r="AC81" s="7" t="s">
        <v>129</v>
      </c>
      <c r="AD81">
        <f>AD79*E41</f>
        <v>36719.521036814425</v>
      </c>
      <c r="AE81" s="7"/>
      <c r="AF81" s="7"/>
      <c r="AG81" s="7"/>
      <c r="AH81" s="7"/>
      <c r="AI81" s="8"/>
    </row>
    <row r="82" spans="1:35" x14ac:dyDescent="0.2">
      <c r="C82" s="3" t="s">
        <v>313</v>
      </c>
      <c r="K82" s="8"/>
      <c r="M82" t="s">
        <v>48</v>
      </c>
      <c r="N82">
        <f>N81/E38</f>
        <v>0</v>
      </c>
      <c r="Q82" s="8"/>
      <c r="S82" t="s">
        <v>93</v>
      </c>
      <c r="T82">
        <f>T81/N43/10000</f>
        <v>43.326511627906974</v>
      </c>
      <c r="U82" s="16"/>
      <c r="V82" s="8"/>
      <c r="Z82" s="8"/>
      <c r="AA82" s="6"/>
      <c r="AB82" s="7"/>
      <c r="AC82" s="7" t="s">
        <v>130</v>
      </c>
      <c r="AD82">
        <f>N25*G41</f>
        <v>13046.56</v>
      </c>
      <c r="AE82" s="7"/>
      <c r="AF82" s="7"/>
      <c r="AG82" s="7"/>
      <c r="AH82" s="7"/>
      <c r="AI82" s="8"/>
    </row>
    <row r="83" spans="1:35" x14ac:dyDescent="0.2">
      <c r="C83" t="s">
        <v>22</v>
      </c>
      <c r="D83">
        <f>G26*N25</f>
        <v>171236.1</v>
      </c>
      <c r="F83" t="s">
        <v>207</v>
      </c>
      <c r="G83" s="18">
        <f>G63*D88</f>
        <v>4.0935229292929298</v>
      </c>
      <c r="K83" s="8"/>
      <c r="M83" t="s">
        <v>262</v>
      </c>
      <c r="N83">
        <f>N82/X26/T26</f>
        <v>0</v>
      </c>
      <c r="Q83" s="8"/>
      <c r="V83" s="8"/>
      <c r="Z83" s="8"/>
      <c r="AA83" s="6"/>
      <c r="AB83" s="7"/>
      <c r="AC83" s="7" t="s">
        <v>131</v>
      </c>
      <c r="AD83">
        <f>AD82/AD80</f>
        <v>0.54816375839243958</v>
      </c>
      <c r="AE83" s="7"/>
      <c r="AF83" s="7"/>
      <c r="AG83" s="7"/>
      <c r="AH83" s="7"/>
      <c r="AI83" s="8"/>
    </row>
    <row r="84" spans="1:35" x14ac:dyDescent="0.2">
      <c r="C84" t="s">
        <v>23</v>
      </c>
      <c r="D84">
        <v>0.1</v>
      </c>
      <c r="K84" s="8"/>
      <c r="M84" t="s">
        <v>263</v>
      </c>
      <c r="N84">
        <f>(70*(N83*T26)^0.75)*365</f>
        <v>0</v>
      </c>
      <c r="Q84" s="8"/>
      <c r="S84" s="16" t="s">
        <v>183</v>
      </c>
      <c r="V84" s="8"/>
      <c r="Z84" s="8"/>
      <c r="AA84" s="6"/>
      <c r="AB84" s="7"/>
      <c r="AC84" s="7" t="s">
        <v>132</v>
      </c>
      <c r="AD84">
        <f>AD83*N31</f>
        <v>622.71402953381141</v>
      </c>
      <c r="AE84" s="7"/>
      <c r="AF84" s="7"/>
      <c r="AG84" s="7"/>
      <c r="AH84" s="7"/>
      <c r="AI84" s="8"/>
    </row>
    <row r="85" spans="1:35" x14ac:dyDescent="0.2">
      <c r="C85" t="s">
        <v>24</v>
      </c>
      <c r="D85">
        <v>0.3</v>
      </c>
      <c r="K85" s="8"/>
      <c r="M85" t="s">
        <v>264</v>
      </c>
      <c r="N85">
        <v>0.65</v>
      </c>
      <c r="O85" s="60">
        <f>SUM(N85:N87)</f>
        <v>1</v>
      </c>
      <c r="Q85" s="8"/>
      <c r="V85" s="8"/>
      <c r="Z85" s="8"/>
      <c r="AA85" s="6"/>
      <c r="AB85" s="7"/>
      <c r="AC85" s="7" t="s">
        <v>133</v>
      </c>
      <c r="AD85">
        <f>AD84*AD79</f>
        <v>25691.866188074458</v>
      </c>
      <c r="AE85" s="7"/>
      <c r="AF85" s="7"/>
      <c r="AG85" s="7"/>
      <c r="AH85" s="7"/>
      <c r="AI85" s="8"/>
    </row>
    <row r="86" spans="1:35" x14ac:dyDescent="0.2">
      <c r="C86" t="s">
        <v>25</v>
      </c>
      <c r="D86" s="18">
        <f>F26*(1-(D84+D85))</f>
        <v>4752000</v>
      </c>
      <c r="K86" s="8"/>
      <c r="M86" t="s">
        <v>265</v>
      </c>
      <c r="N86">
        <v>0.1</v>
      </c>
      <c r="O86" s="60"/>
      <c r="Q86" s="8"/>
      <c r="V86" s="8"/>
      <c r="Z86" s="8"/>
      <c r="AA86" s="6"/>
      <c r="AB86" s="7"/>
      <c r="AC86" s="11" t="s">
        <v>187</v>
      </c>
      <c r="AD86" s="7">
        <f>AD84*AD81</f>
        <v>22865760.907386266</v>
      </c>
      <c r="AE86" s="7"/>
      <c r="AF86" s="7"/>
      <c r="AG86" s="7"/>
      <c r="AH86" s="7"/>
      <c r="AI86" s="8"/>
    </row>
    <row r="87" spans="1:35" x14ac:dyDescent="0.2">
      <c r="C87" t="s">
        <v>26</v>
      </c>
      <c r="D87" s="18">
        <f>D83/D86</f>
        <v>3.6034532828282832E-2</v>
      </c>
      <c r="K87" s="8"/>
      <c r="M87" t="s">
        <v>270</v>
      </c>
      <c r="N87">
        <v>0.25</v>
      </c>
      <c r="O87" s="60"/>
      <c r="Q87" s="8"/>
      <c r="R87" s="3" t="s">
        <v>244</v>
      </c>
      <c r="V87" s="8"/>
      <c r="Z87" s="8"/>
      <c r="AA87" s="6"/>
      <c r="AB87" s="12" t="s">
        <v>137</v>
      </c>
      <c r="AC87" s="7"/>
      <c r="AD87" s="7"/>
      <c r="AE87" s="7"/>
      <c r="AF87" s="7"/>
      <c r="AG87" s="7"/>
      <c r="AH87" s="7"/>
      <c r="AI87" s="8"/>
    </row>
    <row r="88" spans="1:35" x14ac:dyDescent="0.2">
      <c r="C88" t="s">
        <v>27</v>
      </c>
      <c r="D88" s="18">
        <f>D87*N38</f>
        <v>40.9352292929293</v>
      </c>
      <c r="K88" s="8"/>
      <c r="M88" t="s">
        <v>49</v>
      </c>
      <c r="N88">
        <f>N84*N85/W31</f>
        <v>0</v>
      </c>
      <c r="Q88" s="8"/>
      <c r="V88" s="8"/>
      <c r="Z88" s="8"/>
      <c r="AA88" s="6"/>
      <c r="AB88" s="7"/>
      <c r="AC88" s="7" t="s">
        <v>135</v>
      </c>
      <c r="AD88">
        <v>0.9</v>
      </c>
      <c r="AE88" s="7" t="s">
        <v>233</v>
      </c>
      <c r="AF88" s="7"/>
      <c r="AG88" s="7"/>
      <c r="AH88" s="7"/>
      <c r="AI88" s="8"/>
    </row>
    <row r="89" spans="1:35" x14ac:dyDescent="0.2">
      <c r="K89" s="8"/>
      <c r="M89" t="s">
        <v>50</v>
      </c>
      <c r="N89">
        <f>N86*N84/W32</f>
        <v>0</v>
      </c>
      <c r="Q89" s="8"/>
      <c r="V89" s="8"/>
      <c r="Z89" s="8"/>
      <c r="AA89" s="6"/>
      <c r="AB89" s="7"/>
      <c r="AC89" s="7" t="s">
        <v>136</v>
      </c>
      <c r="AD89">
        <v>0.2</v>
      </c>
      <c r="AE89" s="7" t="s">
        <v>234</v>
      </c>
      <c r="AF89" s="7"/>
      <c r="AG89" s="7"/>
      <c r="AH89" s="7"/>
      <c r="AI89" s="8"/>
    </row>
    <row r="90" spans="1:35" x14ac:dyDescent="0.2">
      <c r="A90" s="9"/>
      <c r="B90" s="9"/>
      <c r="C90" s="9"/>
      <c r="D90" s="9"/>
      <c r="E90" s="9"/>
      <c r="F90" s="9"/>
      <c r="G90" s="9"/>
      <c r="H90" s="9"/>
      <c r="I90" s="9"/>
      <c r="J90" s="9"/>
      <c r="K90" s="10"/>
      <c r="M90" t="s">
        <v>271</v>
      </c>
      <c r="N90">
        <f>N87*N84/W33</f>
        <v>0</v>
      </c>
      <c r="Q90" s="8"/>
      <c r="V90" s="8"/>
      <c r="Z90" s="8"/>
      <c r="AA90" s="6"/>
      <c r="AB90" s="7"/>
      <c r="AC90" s="7" t="s">
        <v>143</v>
      </c>
      <c r="AD90">
        <f>(1-AD88)*AD89</f>
        <v>1.9999999999999997E-2</v>
      </c>
      <c r="AE90" s="7"/>
      <c r="AF90" s="7"/>
      <c r="AG90" s="7"/>
      <c r="AH90" s="7"/>
      <c r="AI90" s="8"/>
    </row>
    <row r="91" spans="1:35" x14ac:dyDescent="0.2">
      <c r="K91" s="8"/>
      <c r="M91" t="s">
        <v>266</v>
      </c>
      <c r="N91">
        <f>SUM(N88:N90)</f>
        <v>0</v>
      </c>
      <c r="Q91" s="8"/>
      <c r="V91" s="8"/>
      <c r="Z91" s="8"/>
      <c r="AA91" s="6"/>
      <c r="AB91" s="7"/>
      <c r="AC91" s="7" t="s">
        <v>138</v>
      </c>
      <c r="AD91">
        <f>(AD89*AD88)*E43</f>
        <v>149.4</v>
      </c>
      <c r="AE91" s="7"/>
      <c r="AF91" s="7"/>
      <c r="AG91" s="7"/>
      <c r="AH91" s="7"/>
      <c r="AI91" s="8"/>
    </row>
    <row r="92" spans="1:35" x14ac:dyDescent="0.2">
      <c r="B92" s="3" t="s">
        <v>108</v>
      </c>
      <c r="D92" s="3" t="s">
        <v>109</v>
      </c>
      <c r="E92" s="3">
        <f>D99</f>
        <v>6.0417759828016253</v>
      </c>
      <c r="K92" s="8"/>
      <c r="M92" s="3" t="s">
        <v>267</v>
      </c>
      <c r="N92">
        <f>N91*N31</f>
        <v>0</v>
      </c>
      <c r="Q92" s="8"/>
      <c r="V92" s="8"/>
      <c r="Z92" s="8"/>
      <c r="AA92" s="6"/>
      <c r="AB92" s="7"/>
      <c r="AC92" s="7" t="s">
        <v>139</v>
      </c>
      <c r="AD92">
        <f>G43*N25</f>
        <v>48924.6</v>
      </c>
      <c r="AE92" s="7"/>
      <c r="AF92" s="7"/>
      <c r="AG92" s="7"/>
      <c r="AH92" s="7"/>
      <c r="AI92" s="8"/>
    </row>
    <row r="93" spans="1:35" x14ac:dyDescent="0.2">
      <c r="B93" s="3" t="s">
        <v>311</v>
      </c>
      <c r="K93" s="8"/>
      <c r="M93" s="3" t="s">
        <v>272</v>
      </c>
      <c r="N93">
        <f>N83*N31</f>
        <v>0</v>
      </c>
      <c r="Q93" s="8"/>
      <c r="V93" s="8"/>
      <c r="Z93" s="8"/>
      <c r="AA93" s="6"/>
      <c r="AB93" s="7"/>
      <c r="AC93" s="7" t="s">
        <v>140</v>
      </c>
      <c r="AD93">
        <f>AD92/AD91</f>
        <v>327.47389558232931</v>
      </c>
      <c r="AF93" s="7"/>
      <c r="AG93" s="7"/>
      <c r="AH93" s="7"/>
      <c r="AI93" s="8"/>
    </row>
    <row r="94" spans="1:35" x14ac:dyDescent="0.2">
      <c r="C94" t="s">
        <v>22</v>
      </c>
      <c r="D94">
        <f>N25*G29</f>
        <v>20385.25</v>
      </c>
      <c r="K94" s="8"/>
      <c r="Q94" s="8"/>
      <c r="V94" s="8"/>
      <c r="Z94" s="8"/>
      <c r="AA94" s="6"/>
      <c r="AB94" s="7"/>
      <c r="AC94" s="7" t="s">
        <v>141</v>
      </c>
      <c r="AD94">
        <f>AD93*N31</f>
        <v>372010.3453815261</v>
      </c>
      <c r="AE94" s="7" t="s">
        <v>317</v>
      </c>
      <c r="AF94" s="7"/>
      <c r="AG94" s="7"/>
      <c r="AH94" s="7"/>
      <c r="AI94" s="8"/>
    </row>
    <row r="95" spans="1:35" x14ac:dyDescent="0.2">
      <c r="C95" t="s">
        <v>23</v>
      </c>
      <c r="D95">
        <v>0</v>
      </c>
      <c r="K95" s="8"/>
      <c r="Q95" s="8"/>
      <c r="V95" s="8"/>
      <c r="Z95" s="8"/>
      <c r="AA95" s="6"/>
      <c r="AB95" s="7"/>
      <c r="AC95" s="7" t="s">
        <v>142</v>
      </c>
      <c r="AD95">
        <f>AD90*AD94</f>
        <v>7440.2069076305206</v>
      </c>
      <c r="AE95" s="7"/>
      <c r="AF95" s="7"/>
      <c r="AG95" s="7"/>
      <c r="AH95" s="7"/>
      <c r="AI95" s="8"/>
    </row>
    <row r="96" spans="1:35" x14ac:dyDescent="0.2">
      <c r="C96" t="s">
        <v>24</v>
      </c>
      <c r="D96">
        <v>0.3</v>
      </c>
      <c r="K96" s="8"/>
      <c r="Q96" s="8"/>
      <c r="V96" s="8"/>
      <c r="Z96" s="8"/>
      <c r="AA96" s="6"/>
      <c r="AB96" s="7"/>
      <c r="AC96" s="7" t="s">
        <v>144</v>
      </c>
      <c r="AD96">
        <f>AD95*E42</f>
        <v>8935688.496064255</v>
      </c>
      <c r="AE96" s="7"/>
      <c r="AF96" s="7"/>
      <c r="AG96" s="7"/>
      <c r="AH96" s="7"/>
      <c r="AI96" s="8"/>
    </row>
    <row r="97" spans="3:35" x14ac:dyDescent="0.2">
      <c r="C97" t="s">
        <v>25</v>
      </c>
      <c r="D97">
        <f>F29*(1-SUM(D95:D96))</f>
        <v>3832919.9999999995</v>
      </c>
      <c r="K97" s="8"/>
      <c r="Q97" s="8"/>
      <c r="V97" s="8"/>
      <c r="Z97" s="8"/>
      <c r="AA97" s="6"/>
      <c r="AB97" s="7"/>
      <c r="AC97" s="7"/>
      <c r="AD97" s="7"/>
      <c r="AE97" s="7"/>
      <c r="AF97" s="7"/>
      <c r="AG97" s="7"/>
      <c r="AH97" s="7"/>
      <c r="AI97" s="8"/>
    </row>
    <row r="98" spans="3:35" x14ac:dyDescent="0.2">
      <c r="C98" t="s">
        <v>26</v>
      </c>
      <c r="D98">
        <f>D94/D97</f>
        <v>5.3184647735929798E-3</v>
      </c>
      <c r="K98" s="8"/>
      <c r="Q98" s="8"/>
      <c r="V98" s="8"/>
      <c r="Z98" s="8"/>
      <c r="AA98" s="6"/>
      <c r="AB98" s="12" t="s">
        <v>121</v>
      </c>
      <c r="AC98" s="7"/>
      <c r="AD98" s="7"/>
      <c r="AE98" s="7"/>
      <c r="AF98" s="7"/>
      <c r="AG98" s="7"/>
      <c r="AH98" s="7"/>
      <c r="AI98" s="8"/>
    </row>
    <row r="99" spans="3:35" x14ac:dyDescent="0.2">
      <c r="C99" t="s">
        <v>27</v>
      </c>
      <c r="D99">
        <f>D98*N38</f>
        <v>6.0417759828016253</v>
      </c>
      <c r="K99" s="8"/>
      <c r="Q99" s="8"/>
      <c r="V99" s="8"/>
      <c r="Z99" s="8"/>
      <c r="AA99" s="6"/>
      <c r="AB99" s="7"/>
      <c r="AC99" s="7" t="s">
        <v>145</v>
      </c>
      <c r="AD99" s="7">
        <v>0.5</v>
      </c>
      <c r="AE99" s="7" t="s">
        <v>113</v>
      </c>
      <c r="AF99" s="7"/>
      <c r="AG99" s="7"/>
      <c r="AH99" s="7"/>
      <c r="AI99" s="8"/>
    </row>
    <row r="100" spans="3:35" x14ac:dyDescent="0.2">
      <c r="K100" s="8"/>
      <c r="Q100" s="8"/>
      <c r="V100" s="8"/>
      <c r="Z100" s="8"/>
      <c r="AA100" s="6"/>
      <c r="AB100" s="7"/>
      <c r="AC100" s="7" t="s">
        <v>146</v>
      </c>
      <c r="AD100" s="7">
        <f>AD99*365</f>
        <v>182.5</v>
      </c>
      <c r="AE100" s="7"/>
      <c r="AF100" s="7"/>
      <c r="AG100" s="7"/>
      <c r="AH100" s="7"/>
      <c r="AI100" s="8"/>
    </row>
    <row r="101" spans="3:35" x14ac:dyDescent="0.2">
      <c r="K101" s="8"/>
      <c r="Q101" s="8"/>
      <c r="V101" s="8"/>
      <c r="Z101" s="8"/>
      <c r="AA101" s="6"/>
      <c r="AB101" s="7"/>
      <c r="AC101" s="7" t="s">
        <v>148</v>
      </c>
      <c r="AD101" s="7">
        <f>V35</f>
        <v>890</v>
      </c>
      <c r="AE101" s="7"/>
      <c r="AF101" s="7"/>
      <c r="AG101" s="7"/>
      <c r="AH101" s="7"/>
      <c r="AI101" s="8"/>
    </row>
    <row r="102" spans="3:35" x14ac:dyDescent="0.2">
      <c r="K102" s="8"/>
      <c r="Q102" s="8"/>
      <c r="V102" s="8"/>
      <c r="Z102" s="8"/>
      <c r="AA102" s="6"/>
      <c r="AB102" s="7"/>
      <c r="AC102" s="7" t="s">
        <v>147</v>
      </c>
      <c r="AD102" s="7">
        <f>AD100*AD101</f>
        <v>162425</v>
      </c>
      <c r="AE102" s="7"/>
      <c r="AF102" s="7"/>
      <c r="AG102" s="7"/>
      <c r="AH102" s="7"/>
      <c r="AI102" s="8"/>
    </row>
    <row r="103" spans="3:35" x14ac:dyDescent="0.2">
      <c r="K103" s="8"/>
      <c r="Q103" s="8"/>
      <c r="V103" s="8"/>
      <c r="Z103" s="8"/>
      <c r="AA103" s="6"/>
      <c r="AB103" s="7"/>
      <c r="AC103" s="7" t="s">
        <v>150</v>
      </c>
      <c r="AD103" s="7">
        <f>AD100*N31</f>
        <v>207320</v>
      </c>
      <c r="AE103" s="7"/>
      <c r="AF103" s="7"/>
      <c r="AG103" s="7"/>
      <c r="AH103" s="7"/>
      <c r="AI103" s="8"/>
    </row>
    <row r="104" spans="3:35" x14ac:dyDescent="0.2">
      <c r="K104" s="8"/>
      <c r="Q104" s="8"/>
      <c r="V104" s="8"/>
      <c r="Z104" s="8"/>
      <c r="AA104" s="6"/>
      <c r="AB104" s="7"/>
      <c r="AC104" s="7" t="s">
        <v>149</v>
      </c>
      <c r="AD104" s="7">
        <f>AD102*N38</f>
        <v>184514800</v>
      </c>
      <c r="AE104" s="7"/>
      <c r="AF104" s="7"/>
      <c r="AG104" s="7"/>
      <c r="AH104" s="7"/>
      <c r="AI104" s="8"/>
    </row>
    <row r="105" spans="3:35" x14ac:dyDescent="0.2">
      <c r="K105" s="8"/>
      <c r="Q105" s="8"/>
      <c r="V105" s="8"/>
      <c r="Z105" s="8"/>
      <c r="AA105" s="6"/>
      <c r="AB105" s="7"/>
      <c r="AC105" s="7"/>
      <c r="AD105" s="7"/>
      <c r="AE105" s="7"/>
      <c r="AF105" s="7"/>
      <c r="AG105" s="7"/>
      <c r="AH105" s="7"/>
      <c r="AI105" s="8"/>
    </row>
    <row r="106" spans="3:35" x14ac:dyDescent="0.2">
      <c r="Z106" s="8"/>
      <c r="AA106" s="23"/>
      <c r="AB106" s="9"/>
      <c r="AC106" s="9"/>
      <c r="AD106" s="9"/>
      <c r="AE106" s="9"/>
      <c r="AF106" s="9"/>
      <c r="AG106" s="9"/>
      <c r="AH106" s="9"/>
      <c r="AI106" s="10"/>
    </row>
  </sheetData>
  <mergeCells count="10">
    <mergeCell ref="O85:O87"/>
    <mergeCell ref="O69:O71"/>
    <mergeCell ref="F74:F76"/>
    <mergeCell ref="G74:G76"/>
    <mergeCell ref="B25:B33"/>
    <mergeCell ref="O53:O54"/>
    <mergeCell ref="F67:F68"/>
    <mergeCell ref="G67:G68"/>
    <mergeCell ref="B34:B39"/>
    <mergeCell ref="B40:B4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24D5F6-FC11-3247-8F98-4CAA2E1DA293}">
  <dimension ref="A1:AI106"/>
  <sheetViews>
    <sheetView topLeftCell="A30" workbookViewId="0">
      <selection activeCell="H41" sqref="H41"/>
    </sheetView>
  </sheetViews>
  <sheetFormatPr baseColWidth="10" defaultRowHeight="16" x14ac:dyDescent="0.2"/>
  <cols>
    <col min="1" max="1" width="13.33203125" customWidth="1"/>
    <col min="2" max="2" width="14" customWidth="1"/>
    <col min="3" max="3" width="34.6640625" customWidth="1"/>
    <col min="4" max="4" width="19" customWidth="1"/>
    <col min="6" max="6" width="15" customWidth="1"/>
    <col min="13" max="13" width="43.5" customWidth="1"/>
    <col min="18" max="18" width="14.6640625" customWidth="1"/>
    <col min="19" max="19" width="43.83203125" customWidth="1"/>
    <col min="20" max="20" width="17.5" customWidth="1"/>
    <col min="22" max="22" width="14.5" customWidth="1"/>
    <col min="23" max="23" width="23.5" customWidth="1"/>
    <col min="24" max="24" width="33" customWidth="1"/>
    <col min="27" max="27" width="22.83203125" bestFit="1" customWidth="1"/>
    <col min="28" max="28" width="13.33203125" customWidth="1"/>
    <col min="29" max="29" width="50.1640625" bestFit="1" customWidth="1"/>
    <col min="30" max="30" width="12.1640625" bestFit="1" customWidth="1"/>
    <col min="33" max="33" width="45.6640625" bestFit="1" customWidth="1"/>
  </cols>
  <sheetData>
    <row r="1" spans="1:5" ht="21" x14ac:dyDescent="0.25">
      <c r="A1" s="2" t="s">
        <v>0</v>
      </c>
    </row>
    <row r="2" spans="1:5" ht="21" x14ac:dyDescent="0.25">
      <c r="A2" s="2" t="s">
        <v>167</v>
      </c>
      <c r="B2" s="2">
        <v>1800</v>
      </c>
    </row>
    <row r="3" spans="1:5" s="9" customFormat="1" ht="21" x14ac:dyDescent="0.25">
      <c r="A3" s="19" t="s">
        <v>166</v>
      </c>
      <c r="B3" s="19" t="s">
        <v>295</v>
      </c>
    </row>
    <row r="7" spans="1:5" ht="19" x14ac:dyDescent="0.25">
      <c r="B7" s="20" t="s">
        <v>168</v>
      </c>
      <c r="C7" s="4"/>
      <c r="D7" s="4"/>
      <c r="E7" s="5"/>
    </row>
    <row r="8" spans="1:5" x14ac:dyDescent="0.2">
      <c r="B8" s="21" t="s">
        <v>169</v>
      </c>
      <c r="C8" s="12" t="s">
        <v>251</v>
      </c>
      <c r="D8" s="12" t="s">
        <v>104</v>
      </c>
      <c r="E8" s="22" t="s">
        <v>252</v>
      </c>
    </row>
    <row r="9" spans="1:5" x14ac:dyDescent="0.2">
      <c r="B9" s="6">
        <v>1</v>
      </c>
      <c r="C9" s="7" t="s">
        <v>105</v>
      </c>
      <c r="D9" s="15">
        <f>N34*(N38/N31)</f>
        <v>5.5500000000000007</v>
      </c>
      <c r="E9" s="8">
        <v>1</v>
      </c>
    </row>
    <row r="10" spans="1:5" x14ac:dyDescent="0.2">
      <c r="B10" s="6">
        <v>2</v>
      </c>
      <c r="C10" s="7" t="s">
        <v>212</v>
      </c>
      <c r="D10" s="15">
        <f>E48+G69</f>
        <v>112.31717880032849</v>
      </c>
      <c r="E10" s="8">
        <v>2</v>
      </c>
    </row>
    <row r="11" spans="1:5" x14ac:dyDescent="0.2">
      <c r="B11" s="6">
        <v>3</v>
      </c>
      <c r="C11" s="7" t="s">
        <v>213</v>
      </c>
      <c r="D11" s="15">
        <f>E57</f>
        <v>150.15903898947369</v>
      </c>
      <c r="E11" s="8">
        <v>3</v>
      </c>
    </row>
    <row r="12" spans="1:5" x14ac:dyDescent="0.2">
      <c r="B12" s="6">
        <v>4</v>
      </c>
      <c r="C12" s="7" t="s">
        <v>214</v>
      </c>
      <c r="D12" s="15">
        <f>D11/(1/3)-D11</f>
        <v>300.31807797894737</v>
      </c>
      <c r="E12" s="8">
        <v>4</v>
      </c>
    </row>
    <row r="13" spans="1:5" x14ac:dyDescent="0.2">
      <c r="B13" s="6">
        <v>5</v>
      </c>
      <c r="C13" s="7" t="s">
        <v>285</v>
      </c>
      <c r="D13" s="15">
        <f>N75+N92</f>
        <v>92.940110282809684</v>
      </c>
      <c r="E13" s="8">
        <v>4</v>
      </c>
    </row>
    <row r="14" spans="1:5" x14ac:dyDescent="0.2">
      <c r="B14" s="6">
        <v>6</v>
      </c>
      <c r="C14" s="7" t="s">
        <v>215</v>
      </c>
      <c r="D14" s="15">
        <f>E92</f>
        <v>6.0417759828016253</v>
      </c>
      <c r="E14" s="8">
        <v>5</v>
      </c>
    </row>
    <row r="15" spans="1:5" x14ac:dyDescent="0.2">
      <c r="B15" s="6">
        <v>7</v>
      </c>
      <c r="C15" s="7" t="s">
        <v>216</v>
      </c>
      <c r="D15" s="15">
        <f>U47</f>
        <v>85.199999999999989</v>
      </c>
      <c r="E15" s="8">
        <v>5</v>
      </c>
    </row>
    <row r="16" spans="1:5" x14ac:dyDescent="0.2">
      <c r="B16" s="6">
        <v>8</v>
      </c>
      <c r="C16" s="7" t="s">
        <v>238</v>
      </c>
      <c r="D16" s="15">
        <f>N58</f>
        <v>60.675686759809338</v>
      </c>
      <c r="E16" s="8">
        <v>6</v>
      </c>
    </row>
    <row r="17" spans="1:35" x14ac:dyDescent="0.2">
      <c r="B17" s="6">
        <v>9</v>
      </c>
      <c r="C17" s="7" t="s">
        <v>106</v>
      </c>
      <c r="D17" s="15">
        <f>Y52</f>
        <v>1389.99584304</v>
      </c>
      <c r="E17" s="8">
        <v>6</v>
      </c>
    </row>
    <row r="18" spans="1:35" x14ac:dyDescent="0.2">
      <c r="B18" s="6">
        <v>10</v>
      </c>
      <c r="C18" s="7" t="s">
        <v>211</v>
      </c>
      <c r="D18" s="15">
        <f>SUM(D9:D15)+D16</f>
        <v>813.20186879417008</v>
      </c>
      <c r="E18" s="8" t="s">
        <v>16</v>
      </c>
    </row>
    <row r="19" spans="1:35" x14ac:dyDescent="0.2">
      <c r="B19" s="23">
        <v>11</v>
      </c>
      <c r="C19" s="46" t="s">
        <v>253</v>
      </c>
      <c r="D19" s="41">
        <f>SUM(D9:D17)</f>
        <v>2203.1977118341701</v>
      </c>
      <c r="E19" s="10" t="s">
        <v>16</v>
      </c>
    </row>
    <row r="21" spans="1:35" s="4" customFormat="1" x14ac:dyDescent="0.2">
      <c r="A21" s="26"/>
      <c r="K21" s="5"/>
      <c r="Q21" s="5"/>
      <c r="R21" s="26"/>
      <c r="Z21" s="5"/>
      <c r="AA21" s="26"/>
      <c r="AI21" s="5"/>
    </row>
    <row r="22" spans="1:35" ht="19" x14ac:dyDescent="0.25">
      <c r="A22" s="27" t="s">
        <v>170</v>
      </c>
      <c r="C22" s="7"/>
      <c r="D22" s="7"/>
      <c r="E22" s="7"/>
      <c r="F22" s="7"/>
      <c r="G22" s="7"/>
      <c r="H22" s="7"/>
      <c r="I22" s="7"/>
      <c r="J22" s="7"/>
      <c r="K22" s="8"/>
      <c r="L22" s="7"/>
      <c r="M22" s="7"/>
      <c r="N22" s="7"/>
      <c r="O22" s="7"/>
      <c r="P22" s="7"/>
      <c r="Q22" s="8"/>
      <c r="R22" s="6"/>
      <c r="S22" s="7"/>
      <c r="T22" s="7"/>
      <c r="U22" s="7"/>
      <c r="V22" s="7"/>
      <c r="W22" s="7"/>
      <c r="X22" s="7"/>
      <c r="Y22" s="7"/>
      <c r="Z22" s="8"/>
      <c r="AA22" s="6"/>
      <c r="AB22" s="7"/>
      <c r="AC22" s="7"/>
      <c r="AD22" s="7"/>
      <c r="AE22" s="7"/>
      <c r="AF22" s="7"/>
      <c r="AG22" s="7"/>
      <c r="AH22" s="7"/>
      <c r="AI22" s="8"/>
    </row>
    <row r="23" spans="1:35" ht="19" x14ac:dyDescent="0.25">
      <c r="A23" s="24" t="s">
        <v>28</v>
      </c>
      <c r="C23" s="7"/>
      <c r="D23" s="7"/>
      <c r="E23" s="7"/>
      <c r="F23" s="7"/>
      <c r="G23" s="7"/>
      <c r="H23" s="7"/>
      <c r="I23" s="7"/>
      <c r="J23" s="7"/>
      <c r="K23" s="8"/>
      <c r="L23" s="24" t="s">
        <v>31</v>
      </c>
      <c r="N23" s="7"/>
      <c r="O23" s="7"/>
      <c r="P23" s="7"/>
      <c r="Q23" s="8"/>
      <c r="R23" s="31" t="s">
        <v>45</v>
      </c>
      <c r="S23" s="7"/>
      <c r="T23" s="7"/>
      <c r="U23" s="7"/>
      <c r="V23" s="7"/>
      <c r="W23" s="7"/>
      <c r="X23" s="7"/>
      <c r="Y23" s="7"/>
      <c r="Z23" s="8"/>
      <c r="AA23" s="31" t="s">
        <v>152</v>
      </c>
      <c r="AB23" s="7"/>
      <c r="AC23" s="7"/>
      <c r="AD23" s="7"/>
      <c r="AE23" s="7"/>
      <c r="AF23" s="7"/>
      <c r="AG23" s="7"/>
      <c r="AH23" s="7"/>
      <c r="AI23" s="8"/>
    </row>
    <row r="24" spans="1:35" ht="34" x14ac:dyDescent="0.2">
      <c r="A24" s="6"/>
      <c r="B24" s="51"/>
      <c r="C24" s="51" t="s">
        <v>1</v>
      </c>
      <c r="D24" s="51" t="s">
        <v>2</v>
      </c>
      <c r="E24" s="47" t="s">
        <v>3</v>
      </c>
      <c r="F24" s="47" t="s">
        <v>4</v>
      </c>
      <c r="G24" s="48" t="s">
        <v>44</v>
      </c>
      <c r="H24" t="s">
        <v>18</v>
      </c>
      <c r="I24" s="7"/>
      <c r="J24" s="7"/>
      <c r="K24" s="8"/>
      <c r="L24" s="7"/>
      <c r="M24" s="7" t="s">
        <v>29</v>
      </c>
      <c r="N24" s="7">
        <v>2234</v>
      </c>
      <c r="O24" s="7" t="s">
        <v>172</v>
      </c>
      <c r="P24" s="7"/>
      <c r="Q24" s="8"/>
      <c r="R24" s="6"/>
      <c r="S24" s="33" t="s">
        <v>47</v>
      </c>
      <c r="T24" s="28">
        <v>45</v>
      </c>
      <c r="U24" s="7"/>
      <c r="V24" s="7"/>
      <c r="W24" s="14" t="s">
        <v>52</v>
      </c>
      <c r="X24" s="28">
        <v>7.3599999999999999E-2</v>
      </c>
      <c r="Y24" s="7" t="s">
        <v>274</v>
      </c>
      <c r="Z24" s="8"/>
      <c r="AA24" s="6"/>
      <c r="AB24" s="7"/>
      <c r="AC24" s="12" t="s">
        <v>153</v>
      </c>
      <c r="AD24" s="12" t="s">
        <v>154</v>
      </c>
      <c r="AE24" s="7"/>
      <c r="AF24" s="7"/>
      <c r="AG24" s="7" t="s">
        <v>161</v>
      </c>
      <c r="AH24" s="7">
        <f>N59</f>
        <v>391.23754978607303</v>
      </c>
      <c r="AI24" s="8"/>
    </row>
    <row r="25" spans="1:35" ht="34" x14ac:dyDescent="0.2">
      <c r="A25" s="6"/>
      <c r="B25" s="61" t="s">
        <v>17</v>
      </c>
      <c r="C25" t="s">
        <v>5</v>
      </c>
      <c r="D25" s="51">
        <v>1650</v>
      </c>
      <c r="E25" s="54">
        <v>3540</v>
      </c>
      <c r="F25" s="49">
        <f>D25*E25</f>
        <v>5841000</v>
      </c>
      <c r="G25" s="51">
        <v>0.32</v>
      </c>
      <c r="I25" s="7"/>
      <c r="L25" s="7"/>
      <c r="M25" s="7" t="s">
        <v>30</v>
      </c>
      <c r="N25" s="7">
        <f>N24*365</f>
        <v>815410</v>
      </c>
      <c r="O25" s="7"/>
      <c r="P25" s="7"/>
      <c r="Q25" s="8"/>
      <c r="R25" s="6"/>
      <c r="S25" s="33" t="s">
        <v>46</v>
      </c>
      <c r="T25" s="28">
        <v>436</v>
      </c>
      <c r="U25" s="32" t="s">
        <v>218</v>
      </c>
      <c r="V25" s="7"/>
      <c r="W25" s="14" t="s">
        <v>53</v>
      </c>
      <c r="X25" s="28">
        <v>0.222</v>
      </c>
      <c r="Y25" s="32" t="s">
        <v>275</v>
      </c>
      <c r="Z25" s="8"/>
      <c r="AA25" s="6"/>
      <c r="AB25" s="12" t="s">
        <v>151</v>
      </c>
      <c r="AC25" s="36">
        <f>AD56/1000</f>
        <v>594641.71070220461</v>
      </c>
      <c r="AD25" s="36">
        <f>AC25*$AB$39</f>
        <v>285428021.1370582</v>
      </c>
      <c r="AE25" s="7"/>
      <c r="AF25" s="7"/>
      <c r="AG25" s="7" t="s">
        <v>162</v>
      </c>
      <c r="AH25" s="7">
        <f>N52/N51</f>
        <v>579475.04789838311</v>
      </c>
      <c r="AI25" s="8"/>
    </row>
    <row r="26" spans="1:35" ht="34" x14ac:dyDescent="0.2">
      <c r="A26" s="6"/>
      <c r="B26" s="61"/>
      <c r="C26" t="s">
        <v>315</v>
      </c>
      <c r="D26" s="51">
        <v>6000</v>
      </c>
      <c r="E26" s="54">
        <v>1320</v>
      </c>
      <c r="F26" s="49">
        <f t="shared" ref="F26:F32" si="0">D26*E26</f>
        <v>7920000</v>
      </c>
      <c r="G26" s="51">
        <v>0</v>
      </c>
      <c r="I26" s="7"/>
      <c r="J26" s="7"/>
      <c r="K26" s="8"/>
      <c r="L26" s="7"/>
      <c r="M26" s="7"/>
      <c r="N26" s="7"/>
      <c r="O26" s="7"/>
      <c r="P26" s="7"/>
      <c r="Q26" s="8"/>
      <c r="R26" s="6"/>
      <c r="S26" s="33" t="s">
        <v>269</v>
      </c>
      <c r="T26" s="28">
        <v>35</v>
      </c>
      <c r="U26" s="7"/>
      <c r="V26" s="7"/>
      <c r="W26" s="14" t="s">
        <v>273</v>
      </c>
      <c r="X26" s="28">
        <v>0.113</v>
      </c>
      <c r="Y26" s="7" t="s">
        <v>274</v>
      </c>
      <c r="Z26" s="8"/>
      <c r="AA26" s="6"/>
      <c r="AB26" s="12" t="s">
        <v>155</v>
      </c>
      <c r="AC26" s="36">
        <f>AD65/1000</f>
        <v>532382.04732631578</v>
      </c>
      <c r="AD26" s="36">
        <f>AC26*$AB$39</f>
        <v>255543382.71663156</v>
      </c>
      <c r="AE26" s="7"/>
      <c r="AF26" s="7"/>
      <c r="AG26" s="7" t="s">
        <v>163</v>
      </c>
      <c r="AH26" s="36">
        <f>AH25*AH24</f>
        <v>226712397.90193072</v>
      </c>
      <c r="AI26" s="8"/>
    </row>
    <row r="27" spans="1:35" ht="16" customHeight="1" x14ac:dyDescent="0.2">
      <c r="A27" s="6"/>
      <c r="B27" s="61"/>
      <c r="C27" t="s">
        <v>120</v>
      </c>
      <c r="D27" s="51">
        <v>2000</v>
      </c>
      <c r="E27" s="54">
        <v>1110</v>
      </c>
      <c r="F27" s="49">
        <f t="shared" si="0"/>
        <v>2220000</v>
      </c>
      <c r="G27" s="51">
        <v>2.1999999999999999E-2</v>
      </c>
      <c r="I27" s="7"/>
      <c r="J27" s="7"/>
      <c r="K27" s="8"/>
      <c r="L27" s="9"/>
      <c r="M27" s="9"/>
      <c r="N27" s="9"/>
      <c r="O27" s="9"/>
      <c r="P27" s="9"/>
      <c r="Q27" s="10"/>
      <c r="R27" s="6"/>
      <c r="S27" s="7"/>
      <c r="T27" s="7"/>
      <c r="U27" s="7"/>
      <c r="V27" s="7"/>
      <c r="W27" s="7"/>
      <c r="X27" s="7"/>
      <c r="Y27" s="7"/>
      <c r="Z27" s="8"/>
      <c r="AA27" s="6"/>
      <c r="AB27" s="12" t="s">
        <v>156</v>
      </c>
      <c r="AC27" s="36">
        <f>AD74/1000</f>
        <v>56326.066285549561</v>
      </c>
      <c r="AD27" s="36">
        <f>AC27*AB40</f>
        <v>13574581.974817444</v>
      </c>
      <c r="AE27" s="7"/>
      <c r="AF27" s="7"/>
      <c r="AG27" s="7"/>
      <c r="AH27" s="7"/>
      <c r="AI27" s="8"/>
    </row>
    <row r="28" spans="1:35" x14ac:dyDescent="0.2">
      <c r="A28" s="6"/>
      <c r="B28" s="61"/>
      <c r="C28" t="s">
        <v>276</v>
      </c>
      <c r="D28" s="51">
        <v>5000</v>
      </c>
      <c r="E28" s="54">
        <v>950</v>
      </c>
      <c r="F28" s="49">
        <f t="shared" si="0"/>
        <v>4750000</v>
      </c>
      <c r="G28" s="51">
        <v>0.42</v>
      </c>
      <c r="I28" s="7"/>
      <c r="J28" s="7"/>
      <c r="K28" s="8"/>
      <c r="L28" s="7"/>
      <c r="M28" s="7"/>
      <c r="N28" s="7"/>
      <c r="O28" s="7"/>
      <c r="P28" s="7"/>
      <c r="Q28" s="8"/>
      <c r="R28" s="6"/>
      <c r="S28" s="7"/>
      <c r="T28" s="7"/>
      <c r="Y28" s="7"/>
      <c r="Z28" s="8"/>
      <c r="AA28" s="6"/>
      <c r="AB28" s="12" t="s">
        <v>157</v>
      </c>
      <c r="AC28" s="36">
        <f>AD85</f>
        <v>25691.866188074458</v>
      </c>
      <c r="AD28" s="36">
        <f>AD86</f>
        <v>22865760.907386266</v>
      </c>
      <c r="AE28" s="7"/>
      <c r="AF28" s="7"/>
      <c r="AG28" s="7"/>
      <c r="AH28" s="7"/>
      <c r="AI28" s="8"/>
    </row>
    <row r="29" spans="1:35" ht="19" x14ac:dyDescent="0.25">
      <c r="A29" s="6"/>
      <c r="B29" s="61"/>
      <c r="C29" t="s">
        <v>311</v>
      </c>
      <c r="D29" s="51">
        <v>5070</v>
      </c>
      <c r="E29" s="54">
        <v>1080</v>
      </c>
      <c r="F29" s="49">
        <f t="shared" si="0"/>
        <v>5475600</v>
      </c>
      <c r="G29" s="51">
        <v>2.5000000000000001E-2</v>
      </c>
      <c r="I29" s="7"/>
      <c r="J29" s="7"/>
      <c r="K29" s="8"/>
      <c r="L29" s="24" t="s">
        <v>32</v>
      </c>
      <c r="N29" s="7"/>
      <c r="O29" s="7"/>
      <c r="P29" s="7"/>
      <c r="Q29" s="8"/>
      <c r="R29" s="6"/>
      <c r="S29" s="7"/>
      <c r="T29" s="7"/>
      <c r="U29" s="28" t="s">
        <v>56</v>
      </c>
      <c r="V29" s="28" t="s">
        <v>57</v>
      </c>
      <c r="W29" s="28" t="s">
        <v>58</v>
      </c>
      <c r="X29" s="7"/>
      <c r="Y29" s="7"/>
      <c r="Z29" s="8"/>
      <c r="AA29" s="6"/>
      <c r="AB29" s="12" t="s">
        <v>158</v>
      </c>
      <c r="AC29" s="36">
        <f>AD95</f>
        <v>7440.2069076305206</v>
      </c>
      <c r="AD29" s="36">
        <f t="shared" ref="AD29" si="1">AC29*$AB$39</f>
        <v>3571299.3156626499</v>
      </c>
      <c r="AE29" s="7"/>
      <c r="AF29" s="7"/>
      <c r="AG29" s="7" t="s">
        <v>164</v>
      </c>
      <c r="AH29" s="7" t="str">
        <f>IF(AD31&gt;AH26,"YES","NO")</f>
        <v>YES</v>
      </c>
      <c r="AI29" s="8"/>
    </row>
    <row r="30" spans="1:35" x14ac:dyDescent="0.2">
      <c r="A30" s="6"/>
      <c r="B30" s="61"/>
      <c r="C30" t="s">
        <v>7</v>
      </c>
      <c r="D30" s="49" t="s">
        <v>16</v>
      </c>
      <c r="E30" s="49" t="s">
        <v>16</v>
      </c>
      <c r="F30" s="49" t="s">
        <v>16</v>
      </c>
      <c r="G30" s="51">
        <v>0</v>
      </c>
      <c r="I30" s="7"/>
      <c r="J30" s="7"/>
      <c r="K30" s="8"/>
      <c r="L30" s="7"/>
      <c r="M30" s="12" t="s">
        <v>34</v>
      </c>
      <c r="N30" s="12" t="s">
        <v>35</v>
      </c>
      <c r="O30" s="12" t="s">
        <v>36</v>
      </c>
      <c r="P30" s="7"/>
      <c r="Q30" s="8"/>
      <c r="R30" s="6"/>
      <c r="T30" s="12"/>
      <c r="U30" s="28" t="s">
        <v>59</v>
      </c>
      <c r="V30" s="28" t="s">
        <v>60</v>
      </c>
      <c r="W30" s="28" t="s">
        <v>61</v>
      </c>
      <c r="X30" s="7" t="s">
        <v>177</v>
      </c>
      <c r="Y30" s="7"/>
      <c r="Z30" s="8"/>
      <c r="AA30" s="6"/>
      <c r="AB30" s="12" t="s">
        <v>159</v>
      </c>
      <c r="AC30" s="36">
        <f>AD103</f>
        <v>207320</v>
      </c>
      <c r="AD30" s="36">
        <f>AD104</f>
        <v>184514800</v>
      </c>
      <c r="AE30" s="7"/>
      <c r="AF30" s="7"/>
      <c r="AG30" s="7" t="s">
        <v>165</v>
      </c>
      <c r="AH30" s="15">
        <f>AD31/AH26</f>
        <v>3.3765151493068699</v>
      </c>
      <c r="AI30" s="8"/>
    </row>
    <row r="31" spans="1:35" x14ac:dyDescent="0.2">
      <c r="A31" s="6"/>
      <c r="B31" s="61"/>
      <c r="C31" t="s">
        <v>8</v>
      </c>
      <c r="D31" s="51" t="s">
        <v>16</v>
      </c>
      <c r="E31" s="49" t="s">
        <v>16</v>
      </c>
      <c r="F31" s="49" t="s">
        <v>16</v>
      </c>
      <c r="G31" s="51">
        <v>0</v>
      </c>
      <c r="I31" s="7"/>
      <c r="J31" s="7"/>
      <c r="K31" s="8"/>
      <c r="L31" s="7"/>
      <c r="M31" s="12" t="s">
        <v>33</v>
      </c>
      <c r="N31" s="12">
        <f>N32*N33</f>
        <v>1136</v>
      </c>
      <c r="O31" s="7"/>
      <c r="P31" s="7"/>
      <c r="Q31" s="8"/>
      <c r="R31" s="6"/>
      <c r="S31" s="33" t="s">
        <v>179</v>
      </c>
      <c r="T31" s="12" t="s">
        <v>62</v>
      </c>
      <c r="U31" s="7">
        <v>700</v>
      </c>
      <c r="V31" s="7">
        <v>1452</v>
      </c>
      <c r="W31" s="7">
        <f>U31*V31</f>
        <v>1016400</v>
      </c>
      <c r="X31" s="32" t="s">
        <v>178</v>
      </c>
      <c r="Y31" s="7"/>
      <c r="Z31" s="8"/>
      <c r="AA31" s="6"/>
      <c r="AB31" s="12" t="s">
        <v>160</v>
      </c>
      <c r="AC31" s="36">
        <f>SUM(AC25:AC30)</f>
        <v>1423801.8974097748</v>
      </c>
      <c r="AD31" s="36">
        <f>SUM(AD25:AD30)</f>
        <v>765497846.05155611</v>
      </c>
      <c r="AE31" s="7"/>
      <c r="AF31" s="7"/>
      <c r="AG31" s="11" t="s">
        <v>235</v>
      </c>
      <c r="AH31" s="15">
        <f>(AD25+AD26+AD27+AD30)/AH26</f>
        <v>3.2599045869039931</v>
      </c>
      <c r="AI31" s="8"/>
    </row>
    <row r="32" spans="1:35" x14ac:dyDescent="0.2">
      <c r="A32" s="6"/>
      <c r="B32" s="61"/>
      <c r="C32" t="s">
        <v>277</v>
      </c>
      <c r="D32" s="51">
        <v>12000</v>
      </c>
      <c r="E32" s="54">
        <v>410</v>
      </c>
      <c r="F32" s="49">
        <f t="shared" si="0"/>
        <v>4920000</v>
      </c>
      <c r="G32" s="51">
        <v>1.4999999999999999E-2</v>
      </c>
      <c r="I32" s="7"/>
      <c r="J32" s="7"/>
      <c r="K32" s="8"/>
      <c r="L32" s="7"/>
      <c r="M32" s="7" t="s">
        <v>37</v>
      </c>
      <c r="N32" s="7">
        <v>284</v>
      </c>
      <c r="O32" s="7" t="s">
        <v>283</v>
      </c>
      <c r="P32" s="7"/>
      <c r="Q32" s="8"/>
      <c r="R32" s="6"/>
      <c r="S32" s="7"/>
      <c r="T32" s="12" t="s">
        <v>63</v>
      </c>
      <c r="U32" s="7">
        <v>700</v>
      </c>
      <c r="V32" s="7">
        <v>2151</v>
      </c>
      <c r="W32" s="7">
        <f>U32*V32</f>
        <v>1505700</v>
      </c>
      <c r="X32" s="32" t="s">
        <v>178</v>
      </c>
      <c r="Y32" s="7"/>
      <c r="Z32" s="8"/>
      <c r="AA32" s="6"/>
      <c r="AB32" s="7"/>
      <c r="AC32" s="7"/>
      <c r="AD32" s="7"/>
      <c r="AE32" s="7"/>
      <c r="AF32" s="7"/>
      <c r="AG32" s="11" t="s">
        <v>236</v>
      </c>
      <c r="AH32" s="15">
        <f>(SUM(AD25:AD26)+AD30)/AH26</f>
        <v>3.2000288055155868</v>
      </c>
      <c r="AI32" s="8"/>
    </row>
    <row r="33" spans="1:35" x14ac:dyDescent="0.2">
      <c r="A33" s="6"/>
      <c r="B33" s="61"/>
      <c r="C33" t="s">
        <v>278</v>
      </c>
      <c r="D33" s="49" t="s">
        <v>16</v>
      </c>
      <c r="E33" s="49" t="s">
        <v>16</v>
      </c>
      <c r="F33" s="49" t="s">
        <v>16</v>
      </c>
      <c r="G33" s="51">
        <v>3.5000000000000003E-2</v>
      </c>
      <c r="I33" s="7"/>
      <c r="J33" s="7"/>
      <c r="K33" s="8"/>
      <c r="L33" s="7"/>
      <c r="M33" s="7" t="s">
        <v>38</v>
      </c>
      <c r="N33" s="7">
        <v>4</v>
      </c>
      <c r="O33" s="7"/>
      <c r="P33" s="7"/>
      <c r="Q33" s="8"/>
      <c r="R33" s="6"/>
      <c r="S33" s="7"/>
      <c r="T33" s="12" t="s">
        <v>64</v>
      </c>
      <c r="U33" s="7"/>
      <c r="V33" s="7"/>
      <c r="W33" s="7">
        <v>373646.2</v>
      </c>
      <c r="X33" s="32" t="s">
        <v>178</v>
      </c>
      <c r="Y33" s="7"/>
      <c r="Z33" s="8"/>
      <c r="AA33" s="6"/>
      <c r="AB33" s="7"/>
      <c r="AC33" s="7"/>
      <c r="AD33" s="7"/>
      <c r="AE33" s="7"/>
      <c r="AF33" s="7"/>
      <c r="AG33" s="11" t="s">
        <v>237</v>
      </c>
      <c r="AH33" s="15">
        <f>(AD26+AD30)/AH26</f>
        <v>1.9410415433345118</v>
      </c>
      <c r="AI33" s="8"/>
    </row>
    <row r="34" spans="1:35" ht="16" customHeight="1" x14ac:dyDescent="0.2">
      <c r="A34" s="6"/>
      <c r="B34" s="63" t="s">
        <v>20</v>
      </c>
      <c r="C34" t="s">
        <v>10</v>
      </c>
      <c r="D34" s="51" t="s">
        <v>16</v>
      </c>
      <c r="E34" s="54">
        <v>2370</v>
      </c>
      <c r="F34" s="51" t="s">
        <v>16</v>
      </c>
      <c r="G34" s="51">
        <v>0.01</v>
      </c>
      <c r="H34" t="s">
        <v>19</v>
      </c>
      <c r="I34" s="7"/>
      <c r="J34" s="7"/>
      <c r="K34" s="8"/>
      <c r="L34" s="7"/>
      <c r="M34" s="12" t="s">
        <v>40</v>
      </c>
      <c r="N34" s="12">
        <f>3.39+2.16</f>
        <v>5.5500000000000007</v>
      </c>
      <c r="O34" s="7" t="s">
        <v>284</v>
      </c>
      <c r="P34" s="7"/>
      <c r="Q34" s="8"/>
      <c r="R34" s="6"/>
      <c r="S34" s="7"/>
      <c r="T34" s="12" t="s">
        <v>65</v>
      </c>
      <c r="U34" s="7">
        <f>N31*3</f>
        <v>3408</v>
      </c>
      <c r="V34" s="7">
        <v>1122</v>
      </c>
      <c r="W34" s="7">
        <f>U34*V34</f>
        <v>3823776</v>
      </c>
      <c r="X34" s="32" t="s">
        <v>178</v>
      </c>
      <c r="Y34" s="7"/>
      <c r="Z34" s="8"/>
      <c r="AA34" s="6"/>
      <c r="AB34" s="7"/>
      <c r="AC34" s="7"/>
      <c r="AD34" s="7"/>
      <c r="AE34" s="7"/>
      <c r="AF34" s="7"/>
      <c r="AG34" s="7"/>
      <c r="AH34" s="7"/>
      <c r="AI34" s="8"/>
    </row>
    <row r="35" spans="1:35" ht="16" customHeight="1" x14ac:dyDescent="0.2">
      <c r="A35" s="6"/>
      <c r="B35" s="63"/>
      <c r="C35" t="s">
        <v>11</v>
      </c>
      <c r="D35" s="51" t="s">
        <v>16</v>
      </c>
      <c r="E35" s="54">
        <v>1730</v>
      </c>
      <c r="F35" s="51" t="s">
        <v>16</v>
      </c>
      <c r="G35" s="51">
        <v>0.01</v>
      </c>
      <c r="H35" t="s">
        <v>19</v>
      </c>
      <c r="I35" s="7"/>
      <c r="J35" s="7"/>
      <c r="K35" s="8"/>
      <c r="L35" s="7"/>
      <c r="M35" s="7" t="s">
        <v>39</v>
      </c>
      <c r="N35" s="7">
        <f>N34/N31</f>
        <v>4.8855633802816906E-3</v>
      </c>
      <c r="O35" s="7"/>
      <c r="P35" s="7"/>
      <c r="Q35" s="8"/>
      <c r="R35" s="6"/>
      <c r="S35" s="7"/>
      <c r="T35" s="12" t="s">
        <v>121</v>
      </c>
      <c r="U35" s="7" t="s">
        <v>122</v>
      </c>
      <c r="V35" s="7">
        <v>890</v>
      </c>
      <c r="W35" s="7" t="s">
        <v>122</v>
      </c>
      <c r="X35" s="43" t="s">
        <v>113</v>
      </c>
      <c r="Y35" s="7"/>
      <c r="Z35" s="8"/>
      <c r="AA35" s="6"/>
      <c r="AB35" s="7"/>
      <c r="AC35" s="7"/>
      <c r="AD35" s="7"/>
      <c r="AE35" s="7"/>
      <c r="AF35" s="7"/>
      <c r="AG35" s="7"/>
      <c r="AH35" s="7"/>
      <c r="AI35" s="8"/>
    </row>
    <row r="36" spans="1:35" x14ac:dyDescent="0.2">
      <c r="A36" s="6"/>
      <c r="B36" s="63"/>
      <c r="C36" t="s">
        <v>12</v>
      </c>
      <c r="D36" s="51" t="s">
        <v>16</v>
      </c>
      <c r="E36" s="54">
        <v>1201</v>
      </c>
      <c r="F36" s="51" t="s">
        <v>16</v>
      </c>
      <c r="G36" s="51">
        <v>5.0000000000000001E-3</v>
      </c>
      <c r="I36" s="7"/>
      <c r="J36" s="7"/>
      <c r="K36" s="8"/>
      <c r="L36" s="7"/>
      <c r="M36" s="7"/>
      <c r="N36" s="7"/>
      <c r="O36" s="7"/>
      <c r="P36" s="7"/>
      <c r="Q36" s="8"/>
      <c r="R36" s="6"/>
      <c r="S36" s="7"/>
      <c r="T36" s="7"/>
      <c r="U36" s="7"/>
      <c r="V36" s="7"/>
      <c r="W36" s="7"/>
      <c r="X36" s="7"/>
      <c r="Y36" s="7"/>
      <c r="Z36" s="8"/>
      <c r="AA36" s="6"/>
      <c r="AB36" s="7"/>
      <c r="AC36" s="7"/>
      <c r="AD36" s="7"/>
      <c r="AE36" s="7"/>
      <c r="AF36" s="7"/>
      <c r="AG36" s="7"/>
      <c r="AH36" s="7"/>
      <c r="AI36" s="8"/>
    </row>
    <row r="37" spans="1:35" x14ac:dyDescent="0.2">
      <c r="A37" s="6"/>
      <c r="B37" s="63"/>
      <c r="C37" t="s">
        <v>13</v>
      </c>
      <c r="D37" s="51" t="s">
        <v>16</v>
      </c>
      <c r="E37" s="54">
        <v>1340</v>
      </c>
      <c r="F37" s="51" t="s">
        <v>16</v>
      </c>
      <c r="G37" s="51">
        <v>1E-3</v>
      </c>
      <c r="H37" t="s">
        <v>242</v>
      </c>
      <c r="I37" s="7"/>
      <c r="J37" s="7"/>
      <c r="K37" s="8"/>
      <c r="L37" s="7"/>
      <c r="M37" s="40" t="s">
        <v>239</v>
      </c>
      <c r="N37" s="12" t="s">
        <v>282</v>
      </c>
      <c r="O37" s="7"/>
      <c r="P37" s="7"/>
      <c r="Q37" s="8"/>
      <c r="R37" s="6"/>
      <c r="S37" s="7"/>
      <c r="T37" s="7"/>
      <c r="U37" s="7"/>
      <c r="V37" s="7"/>
      <c r="W37" s="7"/>
      <c r="X37" s="7"/>
      <c r="Y37" s="7"/>
      <c r="Z37" s="8"/>
      <c r="AB37" s="7"/>
      <c r="AC37" s="34"/>
      <c r="AD37" s="34"/>
      <c r="AF37" s="7"/>
      <c r="AG37" s="7"/>
      <c r="AH37" s="7"/>
      <c r="AI37" s="8"/>
    </row>
    <row r="38" spans="1:35" x14ac:dyDescent="0.2">
      <c r="A38" s="6"/>
      <c r="B38" s="63"/>
      <c r="C38" t="s">
        <v>268</v>
      </c>
      <c r="D38" s="51" t="s">
        <v>16</v>
      </c>
      <c r="E38" s="54">
        <v>1480</v>
      </c>
      <c r="F38" s="51" t="s">
        <v>16</v>
      </c>
      <c r="G38" s="51">
        <v>0</v>
      </c>
      <c r="I38" s="7"/>
      <c r="J38" s="7"/>
      <c r="K38" s="8"/>
      <c r="L38" s="7"/>
      <c r="M38" s="40" t="s">
        <v>240</v>
      </c>
      <c r="N38" s="12">
        <f>N31</f>
        <v>1136</v>
      </c>
      <c r="O38" s="7"/>
      <c r="P38" s="7"/>
      <c r="Q38" s="8"/>
      <c r="R38" s="6"/>
      <c r="S38" s="7"/>
      <c r="T38" s="7"/>
      <c r="U38" s="7"/>
      <c r="V38" s="7"/>
      <c r="W38" s="7"/>
      <c r="X38" s="7"/>
      <c r="Y38" s="7"/>
      <c r="Z38" s="8"/>
      <c r="AB38" s="7"/>
      <c r="AC38" s="34"/>
      <c r="AD38" s="34"/>
      <c r="AF38" s="7"/>
      <c r="AG38" s="7"/>
      <c r="AH38" s="7"/>
      <c r="AI38" s="8"/>
    </row>
    <row r="39" spans="1:35" ht="16" customHeight="1" x14ac:dyDescent="0.2">
      <c r="A39" s="6"/>
      <c r="B39" s="63"/>
      <c r="C39" t="s">
        <v>217</v>
      </c>
      <c r="D39" s="51" t="s">
        <v>16</v>
      </c>
      <c r="E39" s="54">
        <v>1600</v>
      </c>
      <c r="F39" s="51" t="s">
        <v>16</v>
      </c>
      <c r="G39" s="51">
        <v>1.4E-2</v>
      </c>
      <c r="I39" s="7"/>
      <c r="J39" s="7"/>
      <c r="K39" s="8"/>
      <c r="L39" s="23"/>
      <c r="M39" s="9"/>
      <c r="N39" s="9"/>
      <c r="O39" s="9"/>
      <c r="P39" s="9"/>
      <c r="Q39" s="10"/>
      <c r="R39" s="6"/>
      <c r="S39" s="7"/>
      <c r="T39" s="7"/>
      <c r="U39" s="7"/>
      <c r="V39" s="7"/>
      <c r="W39" s="7"/>
      <c r="X39" s="7"/>
      <c r="Y39" s="7"/>
      <c r="Z39" s="8"/>
      <c r="AA39" s="21" t="s">
        <v>186</v>
      </c>
      <c r="AB39" s="34">
        <v>480</v>
      </c>
      <c r="AC39" s="35" t="s">
        <v>225</v>
      </c>
      <c r="AD39" s="7"/>
      <c r="AE39" s="7"/>
      <c r="AF39" s="7"/>
      <c r="AG39" s="7"/>
      <c r="AH39" s="7"/>
      <c r="AI39" s="8"/>
    </row>
    <row r="40" spans="1:35" x14ac:dyDescent="0.2">
      <c r="A40" s="6"/>
      <c r="B40" s="63" t="s">
        <v>21</v>
      </c>
      <c r="C40" t="s">
        <v>14</v>
      </c>
      <c r="D40" s="51" t="s">
        <v>16</v>
      </c>
      <c r="E40" s="54">
        <v>2370</v>
      </c>
      <c r="F40" s="51" t="s">
        <v>16</v>
      </c>
      <c r="G40" s="51">
        <v>1.4999999999999999E-2</v>
      </c>
      <c r="I40" s="7"/>
      <c r="J40" s="7"/>
      <c r="K40" s="8"/>
      <c r="L40" s="7"/>
      <c r="M40" s="7"/>
      <c r="N40" s="7"/>
      <c r="O40" s="7"/>
      <c r="P40" s="7"/>
      <c r="Q40" s="8"/>
      <c r="R40" s="26"/>
      <c r="S40" s="4"/>
      <c r="T40" s="4"/>
      <c r="U40" s="4"/>
      <c r="V40" s="5"/>
      <c r="W40" s="4"/>
      <c r="X40" s="4"/>
      <c r="Y40" s="4"/>
      <c r="Z40" s="5"/>
      <c r="AA40" s="21" t="s">
        <v>223</v>
      </c>
      <c r="AB40" s="7">
        <v>241</v>
      </c>
      <c r="AC40" s="7" t="s">
        <v>224</v>
      </c>
      <c r="AD40" s="7"/>
      <c r="AE40" s="7"/>
      <c r="AF40" s="7"/>
      <c r="AG40" s="7"/>
      <c r="AH40" s="7"/>
      <c r="AI40" s="8"/>
    </row>
    <row r="41" spans="1:35" ht="19" x14ac:dyDescent="0.25">
      <c r="A41" s="6"/>
      <c r="B41" s="63"/>
      <c r="C41" t="s">
        <v>15</v>
      </c>
      <c r="D41" s="51" t="s">
        <v>16</v>
      </c>
      <c r="E41" s="54">
        <v>890</v>
      </c>
      <c r="F41" s="51" t="s">
        <v>16</v>
      </c>
      <c r="G41" s="51">
        <v>1.6E-2</v>
      </c>
      <c r="I41" s="7"/>
      <c r="J41" s="7"/>
      <c r="K41" s="8"/>
      <c r="L41" s="24" t="s">
        <v>180</v>
      </c>
      <c r="M41" s="7"/>
      <c r="N41" s="7"/>
      <c r="O41" s="7"/>
      <c r="P41" s="7"/>
      <c r="Q41" s="8"/>
      <c r="R41" s="37" t="s">
        <v>188</v>
      </c>
      <c r="S41" s="7"/>
      <c r="T41" s="7"/>
      <c r="U41" s="7"/>
      <c r="V41" s="8"/>
      <c r="Z41" s="8"/>
      <c r="AA41" s="6"/>
      <c r="AB41" s="7"/>
      <c r="AC41" s="7"/>
      <c r="AD41" s="7"/>
      <c r="AE41" s="7"/>
      <c r="AF41" s="7"/>
      <c r="AG41" s="7"/>
      <c r="AH41" s="7"/>
      <c r="AI41" s="8"/>
    </row>
    <row r="42" spans="1:35" x14ac:dyDescent="0.2">
      <c r="A42" s="6"/>
      <c r="B42" s="63"/>
      <c r="C42" t="s">
        <v>279</v>
      </c>
      <c r="D42" s="51" t="s">
        <v>16</v>
      </c>
      <c r="E42" s="54">
        <v>1201</v>
      </c>
      <c r="F42" s="51" t="s">
        <v>16</v>
      </c>
      <c r="G42" s="51">
        <v>3.2000000000000001E-2</v>
      </c>
      <c r="H42" t="s">
        <v>171</v>
      </c>
      <c r="I42" s="7"/>
      <c r="J42" s="7"/>
      <c r="K42" s="8"/>
      <c r="L42" s="7"/>
      <c r="M42" s="12" t="s">
        <v>86</v>
      </c>
      <c r="N42" s="12">
        <v>12.9</v>
      </c>
      <c r="O42" s="32" t="s">
        <v>181</v>
      </c>
      <c r="P42" s="7"/>
      <c r="Q42" s="8"/>
      <c r="R42" s="52"/>
      <c r="S42" s="52" t="s">
        <v>193</v>
      </c>
      <c r="T42" s="28" t="s">
        <v>194</v>
      </c>
      <c r="U42" s="7"/>
      <c r="V42" s="8"/>
      <c r="Z42" s="8"/>
      <c r="AA42" s="6"/>
      <c r="AB42" s="7"/>
      <c r="AC42" s="7"/>
      <c r="AD42" s="7"/>
      <c r="AE42" s="7"/>
      <c r="AF42" s="7"/>
      <c r="AG42" s="7"/>
      <c r="AH42" s="7"/>
      <c r="AI42" s="8"/>
    </row>
    <row r="43" spans="1:35" x14ac:dyDescent="0.2">
      <c r="A43" s="6"/>
      <c r="B43" s="63"/>
      <c r="C43" t="s">
        <v>280</v>
      </c>
      <c r="D43" s="51" t="s">
        <v>16</v>
      </c>
      <c r="E43" s="54">
        <v>830</v>
      </c>
      <c r="F43" s="51" t="s">
        <v>16</v>
      </c>
      <c r="G43" s="51">
        <v>0.06</v>
      </c>
      <c r="I43" s="7"/>
      <c r="J43" s="7"/>
      <c r="K43" s="8"/>
      <c r="L43" s="7"/>
      <c r="M43" s="12" t="s">
        <v>85</v>
      </c>
      <c r="N43" s="12">
        <v>1.29</v>
      </c>
      <c r="O43" s="7"/>
      <c r="P43" s="7"/>
      <c r="Q43" s="8"/>
      <c r="R43" s="38" t="s">
        <v>189</v>
      </c>
      <c r="S43" s="28" t="s">
        <v>190</v>
      </c>
      <c r="T43" s="28" t="s">
        <v>195</v>
      </c>
      <c r="U43" s="7"/>
      <c r="V43" s="8"/>
      <c r="Z43" s="8"/>
      <c r="AA43" s="6"/>
      <c r="AB43" s="7"/>
      <c r="AC43" s="7"/>
      <c r="AD43" s="7"/>
      <c r="AE43" s="7"/>
      <c r="AF43" s="7"/>
      <c r="AG43" s="7"/>
      <c r="AH43" s="7"/>
      <c r="AI43" s="8"/>
    </row>
    <row r="44" spans="1:35" x14ac:dyDescent="0.2">
      <c r="A44" s="6"/>
      <c r="F44" s="29" t="s">
        <v>208</v>
      </c>
      <c r="G44" s="42">
        <f>SUM(G25:G28)</f>
        <v>0.76200000000000001</v>
      </c>
      <c r="I44" s="7"/>
      <c r="J44" s="7"/>
      <c r="K44" s="8"/>
      <c r="L44" s="7"/>
      <c r="M44" s="12" t="s">
        <v>79</v>
      </c>
      <c r="N44" s="12">
        <v>20</v>
      </c>
      <c r="O44" s="7"/>
      <c r="P44" s="7"/>
      <c r="Q44" s="8"/>
      <c r="R44" s="38" t="s">
        <v>191</v>
      </c>
      <c r="S44" s="28" t="s">
        <v>192</v>
      </c>
      <c r="T44" s="28" t="s">
        <v>196</v>
      </c>
      <c r="U44" s="7"/>
      <c r="V44" s="8"/>
      <c r="Z44" s="8"/>
      <c r="AA44" s="6"/>
      <c r="AB44" s="7"/>
      <c r="AC44" s="7"/>
      <c r="AD44" s="7"/>
      <c r="AE44" s="7"/>
      <c r="AF44" s="7"/>
      <c r="AG44" s="7"/>
      <c r="AH44" s="7"/>
      <c r="AI44" s="8"/>
    </row>
    <row r="45" spans="1:35" x14ac:dyDescent="0.2">
      <c r="A45" s="23"/>
      <c r="B45" s="9"/>
      <c r="C45" s="9"/>
      <c r="D45" s="9"/>
      <c r="E45" s="9"/>
      <c r="F45" s="9"/>
      <c r="G45" s="9"/>
      <c r="H45" s="9"/>
      <c r="I45" s="9"/>
      <c r="J45" s="9"/>
      <c r="K45" s="10"/>
      <c r="L45" s="9"/>
      <c r="M45" s="9"/>
      <c r="N45" s="9"/>
      <c r="O45" s="9"/>
      <c r="P45" s="9"/>
      <c r="Q45" s="10"/>
      <c r="R45" s="23"/>
      <c r="S45" s="9"/>
      <c r="T45" s="9"/>
      <c r="U45" s="9"/>
      <c r="V45" s="10"/>
      <c r="W45" s="9"/>
      <c r="X45" s="9"/>
      <c r="Y45" s="9"/>
      <c r="Z45" s="10"/>
      <c r="AA45" s="23"/>
      <c r="AB45" s="9"/>
      <c r="AC45" s="9"/>
      <c r="AD45" s="9"/>
      <c r="AE45" s="9"/>
      <c r="AF45" s="9"/>
      <c r="AG45" s="9"/>
      <c r="AH45" s="9"/>
      <c r="AI45" s="10"/>
    </row>
    <row r="46" spans="1:35" x14ac:dyDescent="0.2">
      <c r="K46" s="5"/>
      <c r="Q46" s="5"/>
      <c r="V46" s="5"/>
      <c r="Z46" s="5"/>
      <c r="AA46" s="26"/>
      <c r="AB46" s="4"/>
      <c r="AC46" s="4"/>
      <c r="AD46" s="4"/>
      <c r="AE46" s="4"/>
      <c r="AF46" s="4"/>
      <c r="AG46" s="4"/>
      <c r="AH46" s="4"/>
      <c r="AI46" s="5"/>
    </row>
    <row r="47" spans="1:35" ht="19" x14ac:dyDescent="0.25">
      <c r="A47" s="1" t="s">
        <v>173</v>
      </c>
      <c r="K47" s="8"/>
      <c r="L47" s="1" t="s">
        <v>175</v>
      </c>
      <c r="Q47" s="8"/>
      <c r="R47" s="1" t="s">
        <v>182</v>
      </c>
      <c r="T47" s="29" t="s">
        <v>197</v>
      </c>
      <c r="U47" s="3">
        <f>SUM(T58,T70,T82)</f>
        <v>85.199999999999989</v>
      </c>
      <c r="V47" s="8"/>
      <c r="W47" s="1" t="s">
        <v>75</v>
      </c>
      <c r="Z47" s="8"/>
      <c r="AA47" s="44" t="s">
        <v>185</v>
      </c>
      <c r="AB47" s="7"/>
      <c r="AC47" s="7"/>
      <c r="AD47" s="7"/>
      <c r="AE47" s="7"/>
      <c r="AF47" s="7"/>
      <c r="AG47" s="7"/>
      <c r="AH47" s="7"/>
      <c r="AI47" s="8"/>
    </row>
    <row r="48" spans="1:35" x14ac:dyDescent="0.2">
      <c r="B48" s="3" t="s">
        <v>5</v>
      </c>
      <c r="D48" s="29" t="s">
        <v>174</v>
      </c>
      <c r="E48" s="3">
        <f>SUM(D54,G50)</f>
        <v>97.017834415944108</v>
      </c>
      <c r="K48" s="8"/>
      <c r="L48" s="29" t="s">
        <v>66</v>
      </c>
      <c r="Q48" s="8"/>
      <c r="R48" s="3" t="s">
        <v>78</v>
      </c>
      <c r="V48" s="8"/>
      <c r="X48" t="s">
        <v>219</v>
      </c>
      <c r="Y48">
        <f>(100000/19422.03)*100</f>
        <v>514.87923764920561</v>
      </c>
      <c r="Z48" s="8" t="s">
        <v>287</v>
      </c>
      <c r="AA48" s="6"/>
      <c r="AB48" s="7"/>
      <c r="AC48" s="7"/>
      <c r="AD48" s="7"/>
      <c r="AE48" s="7"/>
      <c r="AF48" s="7"/>
      <c r="AG48" s="7"/>
      <c r="AH48" s="7"/>
      <c r="AI48" s="8"/>
    </row>
    <row r="49" spans="1:35" x14ac:dyDescent="0.2">
      <c r="C49" t="s">
        <v>22</v>
      </c>
      <c r="D49">
        <f>N25*G25</f>
        <v>260931.20000000001</v>
      </c>
      <c r="F49" t="s">
        <v>206</v>
      </c>
      <c r="G49">
        <v>0.3</v>
      </c>
      <c r="K49" s="8"/>
      <c r="M49" t="s">
        <v>67</v>
      </c>
      <c r="N49">
        <f>N25*G34</f>
        <v>8154.1</v>
      </c>
      <c r="Q49" s="8"/>
      <c r="V49" s="8"/>
      <c r="X49" t="s">
        <v>76</v>
      </c>
      <c r="Y49">
        <f>Y48/100/100</f>
        <v>5.1487923764920562E-2</v>
      </c>
      <c r="Z49" s="8"/>
      <c r="AA49" s="6"/>
      <c r="AB49" s="12" t="s">
        <v>5</v>
      </c>
      <c r="AC49" s="7"/>
      <c r="AD49" s="7"/>
      <c r="AE49" s="7"/>
      <c r="AF49" s="7"/>
      <c r="AG49" s="7"/>
      <c r="AH49" s="7"/>
      <c r="AI49" s="8"/>
    </row>
    <row r="50" spans="1:35" x14ac:dyDescent="0.2">
      <c r="C50" t="s">
        <v>23</v>
      </c>
      <c r="D50">
        <v>0.02</v>
      </c>
      <c r="E50" s="16" t="s">
        <v>41</v>
      </c>
      <c r="F50" t="s">
        <v>207</v>
      </c>
      <c r="G50" s="18">
        <f>G49*D54</f>
        <v>22.388731019064025</v>
      </c>
      <c r="K50" s="8"/>
      <c r="M50" t="s">
        <v>48</v>
      </c>
      <c r="N50">
        <f>N49/E34</f>
        <v>3.4405485232067514</v>
      </c>
      <c r="Q50" s="8"/>
      <c r="S50" t="s">
        <v>204</v>
      </c>
      <c r="T50">
        <v>8</v>
      </c>
      <c r="U50" t="s">
        <v>286</v>
      </c>
      <c r="V50" s="8"/>
      <c r="X50" t="s">
        <v>77</v>
      </c>
      <c r="Y50">
        <f>1/Y49</f>
        <v>19.422029999999999</v>
      </c>
      <c r="Z50" s="8"/>
      <c r="AA50" s="6"/>
      <c r="AB50" s="7"/>
      <c r="AC50" s="7" t="s">
        <v>119</v>
      </c>
      <c r="AD50" s="13">
        <f>650*10000</f>
        <v>6500000</v>
      </c>
      <c r="AE50" s="7"/>
      <c r="AF50" s="7"/>
      <c r="AG50" s="7"/>
      <c r="AH50" s="7"/>
      <c r="AI50" s="8"/>
    </row>
    <row r="51" spans="1:35" x14ac:dyDescent="0.2">
      <c r="C51" t="s">
        <v>24</v>
      </c>
      <c r="D51">
        <v>0.3</v>
      </c>
      <c r="K51" s="8"/>
      <c r="M51" t="s">
        <v>68</v>
      </c>
      <c r="N51">
        <f>N50/X25/T24</f>
        <v>0.34439925157224738</v>
      </c>
      <c r="Q51" s="8"/>
      <c r="S51" t="s">
        <v>205</v>
      </c>
      <c r="T51">
        <f>T50*1000</f>
        <v>8000</v>
      </c>
      <c r="U51" t="s">
        <v>178</v>
      </c>
      <c r="V51" s="8"/>
      <c r="X51" t="s">
        <v>221</v>
      </c>
      <c r="Y51">
        <f>SUM(G40:G42)</f>
        <v>6.3E-2</v>
      </c>
      <c r="Z51" s="8"/>
      <c r="AA51" s="6"/>
      <c r="AB51" s="7"/>
      <c r="AC51" s="7" t="s">
        <v>111</v>
      </c>
      <c r="AD51">
        <v>0.79600000000000004</v>
      </c>
      <c r="AE51" s="7" t="s">
        <v>178</v>
      </c>
      <c r="AF51" s="7"/>
      <c r="AG51" s="7"/>
      <c r="AH51" s="7"/>
      <c r="AI51" s="8"/>
    </row>
    <row r="52" spans="1:35" x14ac:dyDescent="0.2">
      <c r="C52" t="s">
        <v>25</v>
      </c>
      <c r="D52" s="18">
        <f>F25*(1-(SUM(D50:D51)))</f>
        <v>3971879.9999999995</v>
      </c>
      <c r="K52" s="8"/>
      <c r="M52" t="s">
        <v>69</v>
      </c>
      <c r="N52">
        <f>(70*(N51*T24)^0.75)*365</f>
        <v>199570.77280099536</v>
      </c>
      <c r="Q52" s="8"/>
      <c r="S52" t="s">
        <v>203</v>
      </c>
      <c r="T52">
        <f>T51/N44</f>
        <v>400</v>
      </c>
      <c r="V52" s="8"/>
      <c r="X52" s="3" t="s">
        <v>220</v>
      </c>
      <c r="Y52" s="3">
        <f>Y51*Y50*N38</f>
        <v>1389.99584304</v>
      </c>
      <c r="Z52" s="8"/>
      <c r="AA52" s="6"/>
      <c r="AB52" s="7"/>
      <c r="AC52" s="7" t="s">
        <v>112</v>
      </c>
      <c r="AD52">
        <v>0.1</v>
      </c>
      <c r="AE52" s="7" t="s">
        <v>113</v>
      </c>
      <c r="AF52" s="7"/>
      <c r="AG52" s="7"/>
      <c r="AH52" s="7"/>
      <c r="AI52" s="8"/>
    </row>
    <row r="53" spans="1:35" x14ac:dyDescent="0.2">
      <c r="C53" t="s">
        <v>26</v>
      </c>
      <c r="D53" s="18">
        <f>D49/D52</f>
        <v>6.5694633271901476E-2</v>
      </c>
      <c r="K53" s="8"/>
      <c r="M53" t="s">
        <v>124</v>
      </c>
      <c r="N53">
        <v>0.9</v>
      </c>
      <c r="O53" s="60">
        <f>SUM(N53:N54)</f>
        <v>1</v>
      </c>
      <c r="Q53" s="8"/>
      <c r="S53" t="s">
        <v>202</v>
      </c>
      <c r="T53">
        <v>551</v>
      </c>
      <c r="V53" s="8"/>
      <c r="Z53" s="8"/>
      <c r="AA53" s="6"/>
      <c r="AB53" s="7"/>
      <c r="AC53" s="7" t="s">
        <v>198</v>
      </c>
      <c r="AD53">
        <f>(AD50)*AD51*(1-AD52)/0.45</f>
        <v>10348000</v>
      </c>
      <c r="AE53" s="7" t="s">
        <v>199</v>
      </c>
      <c r="AF53" s="7"/>
      <c r="AG53" s="7"/>
      <c r="AH53" s="7"/>
      <c r="AI53" s="8"/>
    </row>
    <row r="54" spans="1:35" x14ac:dyDescent="0.2">
      <c r="C54" t="s">
        <v>27</v>
      </c>
      <c r="D54" s="18">
        <f>D53*N38</f>
        <v>74.629103396880083</v>
      </c>
      <c r="K54" s="8"/>
      <c r="M54" t="s">
        <v>70</v>
      </c>
      <c r="N54">
        <v>0.1</v>
      </c>
      <c r="O54" s="60"/>
      <c r="Q54" s="8"/>
      <c r="S54" t="s">
        <v>80</v>
      </c>
      <c r="T54">
        <f>T53*N44/1000</f>
        <v>11.02</v>
      </c>
      <c r="V54" s="8"/>
      <c r="W54" s="23"/>
      <c r="X54" s="9"/>
      <c r="Y54" s="9"/>
      <c r="Z54" s="10"/>
      <c r="AA54" s="6"/>
      <c r="AB54" s="7"/>
      <c r="AC54" s="7" t="s">
        <v>114</v>
      </c>
      <c r="AD54">
        <v>0.23</v>
      </c>
      <c r="AE54" s="7"/>
      <c r="AF54" s="7"/>
      <c r="AG54" s="7"/>
      <c r="AH54" s="7"/>
      <c r="AI54" s="8"/>
    </row>
    <row r="55" spans="1:35" x14ac:dyDescent="0.2">
      <c r="A55" s="9"/>
      <c r="B55" s="9"/>
      <c r="C55" s="9"/>
      <c r="D55" s="9"/>
      <c r="E55" s="9"/>
      <c r="F55" s="9"/>
      <c r="G55" s="9"/>
      <c r="H55" s="9"/>
      <c r="I55" s="9"/>
      <c r="J55" s="9"/>
      <c r="K55" s="10"/>
      <c r="Q55" s="8"/>
      <c r="S55" t="s">
        <v>81</v>
      </c>
      <c r="T55">
        <f>AVERAGE(T52,T53)</f>
        <v>475.5</v>
      </c>
      <c r="V55" s="8"/>
      <c r="Z55" s="8"/>
      <c r="AA55" s="6"/>
      <c r="AB55" s="7"/>
      <c r="AC55" s="7" t="s">
        <v>200</v>
      </c>
      <c r="AD55" s="17">
        <f>AD53*(1-AD54)*(D53)</f>
        <v>523452.21012518008</v>
      </c>
      <c r="AE55" s="7"/>
      <c r="AF55" s="7"/>
      <c r="AG55" s="7"/>
      <c r="AH55" s="7"/>
      <c r="AI55" s="8"/>
    </row>
    <row r="56" spans="1:35" x14ac:dyDescent="0.2">
      <c r="K56" s="8"/>
      <c r="M56" t="s">
        <v>71</v>
      </c>
      <c r="N56">
        <f>(N54*N52)/W33</f>
        <v>5.341169609138146E-2</v>
      </c>
      <c r="Q56" s="8"/>
      <c r="S56" t="s">
        <v>82</v>
      </c>
      <c r="T56">
        <f>T55*N38</f>
        <v>540168</v>
      </c>
      <c r="V56" s="8"/>
      <c r="Z56" s="8"/>
      <c r="AA56" s="6"/>
      <c r="AB56" s="7"/>
      <c r="AC56" s="7" t="s">
        <v>201</v>
      </c>
      <c r="AD56">
        <f>AD55*N31</f>
        <v>594641710.70220459</v>
      </c>
      <c r="AE56" s="7"/>
      <c r="AF56" s="7"/>
      <c r="AG56" s="7"/>
      <c r="AH56" s="7"/>
      <c r="AI56" s="8"/>
    </row>
    <row r="57" spans="1:35" ht="19" x14ac:dyDescent="0.25">
      <c r="B57" s="3" t="s">
        <v>107</v>
      </c>
      <c r="D57" s="3" t="s">
        <v>43</v>
      </c>
      <c r="E57" s="53">
        <f>D64+(D72-G69)+(D80-G77)+G64+(D88+G83)</f>
        <v>150.15903898947369</v>
      </c>
      <c r="K57" s="8"/>
      <c r="M57" t="s">
        <v>72</v>
      </c>
      <c r="N57">
        <f>SUM(N55:N56)</f>
        <v>5.341169609138146E-2</v>
      </c>
      <c r="Q57" s="8"/>
      <c r="S57" t="s">
        <v>83</v>
      </c>
      <c r="T57">
        <f>T56/N43</f>
        <v>418734.8837209302</v>
      </c>
      <c r="V57" s="8"/>
      <c r="W57" s="27"/>
      <c r="Z57" s="8"/>
      <c r="AA57" s="6"/>
      <c r="AB57" s="7"/>
      <c r="AC57" s="7"/>
      <c r="AD57" s="7"/>
      <c r="AE57" s="7"/>
      <c r="AF57" s="7"/>
      <c r="AG57" s="7"/>
      <c r="AH57" s="7"/>
      <c r="AI57" s="8"/>
    </row>
    <row r="58" spans="1:35" x14ac:dyDescent="0.2">
      <c r="C58" s="3" t="s">
        <v>318</v>
      </c>
      <c r="K58" s="8"/>
      <c r="M58" s="3" t="s">
        <v>73</v>
      </c>
      <c r="N58" s="3">
        <f>N57*N31</f>
        <v>60.675686759809338</v>
      </c>
      <c r="Q58" s="8"/>
      <c r="S58" t="s">
        <v>84</v>
      </c>
      <c r="T58">
        <f>T57/10000</f>
        <v>41.873488372093021</v>
      </c>
      <c r="V58" s="8"/>
      <c r="X58" s="7"/>
      <c r="Y58" s="7"/>
      <c r="Z58" s="8"/>
      <c r="AA58" s="6"/>
      <c r="AB58" s="12" t="s">
        <v>116</v>
      </c>
      <c r="AC58" s="7"/>
      <c r="AD58" s="7"/>
      <c r="AE58" s="7"/>
      <c r="AF58" s="7"/>
      <c r="AG58" s="7"/>
      <c r="AH58" s="7"/>
      <c r="AI58" s="8"/>
    </row>
    <row r="59" spans="1:35" x14ac:dyDescent="0.2">
      <c r="C59" t="s">
        <v>22</v>
      </c>
      <c r="D59">
        <f>G28*N25</f>
        <v>342472.2</v>
      </c>
      <c r="F59" t="s">
        <v>210</v>
      </c>
      <c r="K59" s="8"/>
      <c r="M59" s="3" t="s">
        <v>74</v>
      </c>
      <c r="N59" s="3">
        <f>N51*N31</f>
        <v>391.23754978607303</v>
      </c>
      <c r="Q59" s="8"/>
      <c r="V59" s="8"/>
      <c r="X59" s="39"/>
      <c r="Y59" s="7"/>
      <c r="Z59" s="8"/>
      <c r="AA59" s="6"/>
      <c r="AB59" s="7"/>
      <c r="AC59" s="7" t="s">
        <v>110</v>
      </c>
      <c r="AD59" s="13">
        <f>650*10000</f>
        <v>6500000</v>
      </c>
      <c r="AE59" s="7"/>
      <c r="AF59" s="7"/>
      <c r="AH59" s="7"/>
      <c r="AI59" s="8"/>
    </row>
    <row r="60" spans="1:35" x14ac:dyDescent="0.2">
      <c r="C60" t="s">
        <v>23</v>
      </c>
      <c r="D60">
        <v>0.1</v>
      </c>
      <c r="F60" t="s">
        <v>42</v>
      </c>
      <c r="G60">
        <v>0.1</v>
      </c>
      <c r="K60" s="8"/>
      <c r="M60" s="3" t="s">
        <v>123</v>
      </c>
      <c r="N60" s="3">
        <f>N59*(N52/N51)</f>
        <v>226712397.90193072</v>
      </c>
      <c r="Q60" s="8"/>
      <c r="V60" s="8"/>
      <c r="W60" s="7"/>
      <c r="X60" s="7"/>
      <c r="Y60" s="7"/>
      <c r="Z60" s="8"/>
      <c r="AA60" s="6"/>
      <c r="AB60" s="7"/>
      <c r="AC60" s="7" t="s">
        <v>111</v>
      </c>
      <c r="AD60" s="7">
        <v>0.6</v>
      </c>
      <c r="AE60" t="s">
        <v>231</v>
      </c>
      <c r="AF60" s="7"/>
      <c r="AG60" s="7"/>
      <c r="AH60" s="7"/>
      <c r="AI60" s="8"/>
    </row>
    <row r="61" spans="1:35" x14ac:dyDescent="0.2">
      <c r="C61" t="s">
        <v>24</v>
      </c>
      <c r="D61">
        <v>0.3</v>
      </c>
      <c r="F61" t="s">
        <v>6</v>
      </c>
      <c r="G61">
        <v>0</v>
      </c>
      <c r="K61" s="8"/>
      <c r="Q61" s="8"/>
      <c r="R61" s="3" t="s">
        <v>94</v>
      </c>
      <c r="V61" s="8"/>
      <c r="X61" s="55"/>
      <c r="Y61" s="45"/>
      <c r="Z61" s="8"/>
      <c r="AA61" s="6"/>
      <c r="AB61" s="7"/>
      <c r="AC61" s="7" t="s">
        <v>112</v>
      </c>
      <c r="AD61" s="7">
        <v>0.1</v>
      </c>
      <c r="AF61" s="7"/>
      <c r="AG61" s="7"/>
      <c r="AH61" s="7"/>
      <c r="AI61" s="8"/>
    </row>
    <row r="62" spans="1:35" x14ac:dyDescent="0.2">
      <c r="C62" t="s">
        <v>25</v>
      </c>
      <c r="D62" s="18">
        <f>F28*(1-(D60+D61))</f>
        <v>2850000</v>
      </c>
      <c r="F62" t="s">
        <v>247</v>
      </c>
      <c r="G62">
        <v>0</v>
      </c>
      <c r="K62" s="8"/>
      <c r="Q62" s="8"/>
      <c r="S62" t="s">
        <v>95</v>
      </c>
      <c r="T62">
        <v>30</v>
      </c>
      <c r="U62" s="16" t="s">
        <v>178</v>
      </c>
      <c r="V62" s="8"/>
      <c r="X62" s="40"/>
      <c r="Y62" s="3"/>
      <c r="Z62" s="8"/>
      <c r="AA62" s="6"/>
      <c r="AB62" s="7"/>
      <c r="AC62" s="7" t="s">
        <v>118</v>
      </c>
      <c r="AD62">
        <f>(AD59)*AD60*(1-AD61)/0.45</f>
        <v>7800000</v>
      </c>
      <c r="AF62" s="7"/>
      <c r="AG62" s="7"/>
      <c r="AH62" s="7"/>
      <c r="AI62" s="8"/>
    </row>
    <row r="63" spans="1:35" x14ac:dyDescent="0.2">
      <c r="C63" t="s">
        <v>26</v>
      </c>
      <c r="D63" s="18">
        <f>D59/D62</f>
        <v>0.12016568421052631</v>
      </c>
      <c r="F63" t="s">
        <v>281</v>
      </c>
      <c r="G63">
        <v>0.1</v>
      </c>
      <c r="K63" s="8"/>
      <c r="Q63" s="8"/>
      <c r="S63" t="s">
        <v>96</v>
      </c>
      <c r="T63">
        <v>1.5</v>
      </c>
      <c r="U63" s="45" t="s">
        <v>250</v>
      </c>
      <c r="V63" s="8"/>
      <c r="X63" s="11"/>
      <c r="Z63" s="8"/>
      <c r="AA63" s="6"/>
      <c r="AB63" s="7"/>
      <c r="AC63" s="7" t="s">
        <v>114</v>
      </c>
      <c r="AD63" s="7">
        <v>0.5</v>
      </c>
      <c r="AE63" t="s">
        <v>232</v>
      </c>
      <c r="AF63" s="7"/>
      <c r="AG63" s="7"/>
      <c r="AH63" s="7"/>
      <c r="AI63" s="8"/>
    </row>
    <row r="64" spans="1:35" x14ac:dyDescent="0.2">
      <c r="C64" t="s">
        <v>27</v>
      </c>
      <c r="D64" s="18">
        <f>D63*N38</f>
        <v>136.50821726315789</v>
      </c>
      <c r="F64" t="s">
        <v>207</v>
      </c>
      <c r="G64" s="18">
        <f>G60*D64</f>
        <v>13.65082172631579</v>
      </c>
      <c r="K64" s="8"/>
      <c r="L64" s="29" t="s">
        <v>176</v>
      </c>
      <c r="Q64" s="8"/>
      <c r="S64" t="s">
        <v>97</v>
      </c>
      <c r="T64">
        <f>T63*T62</f>
        <v>45</v>
      </c>
      <c r="U64" s="16"/>
      <c r="V64" s="8"/>
      <c r="Z64" s="8"/>
      <c r="AA64" s="6"/>
      <c r="AB64" s="7"/>
      <c r="AC64" s="7" t="s">
        <v>115</v>
      </c>
      <c r="AD64" s="17">
        <f>AD62*(1-AD63)*D63</f>
        <v>468646.16842105263</v>
      </c>
      <c r="AE64" s="7"/>
      <c r="AF64" s="7"/>
      <c r="AG64" s="7"/>
      <c r="AH64" s="7"/>
      <c r="AI64" s="8"/>
    </row>
    <row r="65" spans="3:35" x14ac:dyDescent="0.2">
      <c r="K65" s="8"/>
      <c r="L65" s="30"/>
      <c r="M65" t="s">
        <v>51</v>
      </c>
      <c r="N65">
        <f>N25*G37</f>
        <v>815.41</v>
      </c>
      <c r="Q65" s="8"/>
      <c r="S65" t="s">
        <v>98</v>
      </c>
      <c r="T65">
        <v>2</v>
      </c>
      <c r="U65" s="16" t="s">
        <v>178</v>
      </c>
      <c r="V65" s="8"/>
      <c r="Z65" s="8"/>
      <c r="AA65" s="6"/>
      <c r="AB65" s="7"/>
      <c r="AC65" s="7" t="s">
        <v>117</v>
      </c>
      <c r="AD65" s="7">
        <f>AD64*N31</f>
        <v>532382047.32631576</v>
      </c>
      <c r="AE65" s="7"/>
      <c r="AF65" s="7"/>
      <c r="AG65" s="7"/>
      <c r="AH65" s="7"/>
      <c r="AI65" s="8"/>
    </row>
    <row r="66" spans="3:35" x14ac:dyDescent="0.2">
      <c r="C66" s="3" t="s">
        <v>312</v>
      </c>
      <c r="K66" s="8"/>
      <c r="M66" t="s">
        <v>48</v>
      </c>
      <c r="N66">
        <f>N65/E37</f>
        <v>0.60851492537313434</v>
      </c>
      <c r="Q66" s="8"/>
      <c r="S66" t="s">
        <v>89</v>
      </c>
      <c r="T66">
        <v>4</v>
      </c>
      <c r="V66" s="8"/>
      <c r="Z66" s="8"/>
      <c r="AA66" s="6"/>
      <c r="AB66" s="7"/>
      <c r="AC66" s="7"/>
      <c r="AD66" s="7"/>
      <c r="AE66" s="7"/>
      <c r="AF66" s="7"/>
      <c r="AG66" s="7"/>
      <c r="AH66" s="7"/>
      <c r="AI66" s="8"/>
    </row>
    <row r="67" spans="3:35" x14ac:dyDescent="0.2">
      <c r="C67" t="s">
        <v>22</v>
      </c>
      <c r="D67">
        <f>G27*N25</f>
        <v>17939.02</v>
      </c>
      <c r="F67" s="59" t="s">
        <v>245</v>
      </c>
      <c r="G67" s="62">
        <v>1</v>
      </c>
      <c r="K67" s="8"/>
      <c r="M67" t="s">
        <v>54</v>
      </c>
      <c r="N67">
        <f>N66/X24/T25</f>
        <v>1.8962995031821347E-2</v>
      </c>
      <c r="Q67" s="8"/>
      <c r="S67" t="s">
        <v>99</v>
      </c>
      <c r="T67">
        <f>T66*T65*T64</f>
        <v>360</v>
      </c>
      <c r="V67" s="8"/>
      <c r="Z67" s="8"/>
      <c r="AA67" s="6"/>
      <c r="AB67" s="12" t="s">
        <v>120</v>
      </c>
      <c r="AC67" s="7"/>
      <c r="AD67" s="7"/>
      <c r="AE67" s="7"/>
      <c r="AF67" s="7"/>
      <c r="AG67" s="7"/>
      <c r="AH67" s="7"/>
      <c r="AI67" s="8"/>
    </row>
    <row r="68" spans="3:35" x14ac:dyDescent="0.2">
      <c r="C68" t="s">
        <v>23</v>
      </c>
      <c r="D68">
        <v>0.1</v>
      </c>
      <c r="F68" s="59"/>
      <c r="G68" s="62"/>
      <c r="K68" s="8"/>
      <c r="M68" t="s">
        <v>55</v>
      </c>
      <c r="N68">
        <f>(70*(N67*T25)^0.75)*365</f>
        <v>124576.45546570697</v>
      </c>
      <c r="Q68" s="8"/>
      <c r="S68" t="s">
        <v>100</v>
      </c>
      <c r="T68">
        <f>T67*N44/1000</f>
        <v>7.2</v>
      </c>
      <c r="V68" s="8"/>
      <c r="Z68" s="8"/>
      <c r="AA68" s="6"/>
      <c r="AB68" s="7"/>
      <c r="AC68" s="7" t="s">
        <v>110</v>
      </c>
      <c r="AD68" s="13">
        <f>650*10000</f>
        <v>6500000</v>
      </c>
      <c r="AE68" s="7"/>
      <c r="AF68" s="7"/>
      <c r="AG68" s="7" t="s">
        <v>222</v>
      </c>
      <c r="AH68" s="7"/>
      <c r="AI68" s="8"/>
    </row>
    <row r="69" spans="3:35" x14ac:dyDescent="0.2">
      <c r="C69" t="s">
        <v>24</v>
      </c>
      <c r="D69">
        <v>0.3</v>
      </c>
      <c r="F69" s="3" t="s">
        <v>246</v>
      </c>
      <c r="G69" s="3">
        <f>G67*D72</f>
        <v>15.299344384384385</v>
      </c>
      <c r="K69" s="8"/>
      <c r="M69" t="s">
        <v>258</v>
      </c>
      <c r="N69">
        <v>0.6</v>
      </c>
      <c r="O69" s="60">
        <f>SUM(N69:N71)</f>
        <v>1</v>
      </c>
      <c r="P69" t="s">
        <v>241</v>
      </c>
      <c r="Q69" s="8"/>
      <c r="S69" t="s">
        <v>101</v>
      </c>
      <c r="T69">
        <f>T67*N38</f>
        <v>408960</v>
      </c>
      <c r="V69" s="8"/>
      <c r="Z69" s="8"/>
      <c r="AA69" s="6"/>
      <c r="AB69" s="7"/>
      <c r="AC69" s="7" t="s">
        <v>111</v>
      </c>
      <c r="AD69" s="7">
        <v>0.59</v>
      </c>
      <c r="AE69" s="7" t="s">
        <v>226</v>
      </c>
      <c r="AF69" s="7"/>
      <c r="AG69" s="7"/>
      <c r="AH69" s="7"/>
      <c r="AI69" s="8"/>
    </row>
    <row r="70" spans="3:35" x14ac:dyDescent="0.2">
      <c r="C70" t="s">
        <v>25</v>
      </c>
      <c r="D70" s="18">
        <f>F27*(1-SUM(D68:D69))</f>
        <v>1332000</v>
      </c>
      <c r="K70" s="8"/>
      <c r="M70" t="s">
        <v>259</v>
      </c>
      <c r="N70">
        <v>0.1</v>
      </c>
      <c r="O70" s="60"/>
      <c r="Q70" s="8"/>
      <c r="S70" t="s">
        <v>102</v>
      </c>
      <c r="T70">
        <v>0</v>
      </c>
      <c r="U70" t="s">
        <v>209</v>
      </c>
      <c r="V70" s="8"/>
      <c r="Z70" s="8"/>
      <c r="AA70" s="6"/>
      <c r="AB70" s="7"/>
      <c r="AC70" s="7" t="s">
        <v>112</v>
      </c>
      <c r="AD70" s="7">
        <v>0.1</v>
      </c>
      <c r="AE70" s="7"/>
      <c r="AF70" s="7"/>
      <c r="AG70" s="7"/>
      <c r="AH70" s="7"/>
      <c r="AI70" s="8"/>
    </row>
    <row r="71" spans="3:35" x14ac:dyDescent="0.2">
      <c r="C71" t="s">
        <v>26</v>
      </c>
      <c r="D71" s="18">
        <f>D67/D70</f>
        <v>1.3467732732732733E-2</v>
      </c>
      <c r="K71" s="8"/>
      <c r="M71" t="s">
        <v>260</v>
      </c>
      <c r="N71">
        <v>0.3</v>
      </c>
      <c r="O71" s="60"/>
      <c r="Q71" s="8"/>
      <c r="V71" s="8"/>
      <c r="Z71" s="8"/>
      <c r="AA71" s="6"/>
      <c r="AB71" s="7"/>
      <c r="AC71" s="7" t="s">
        <v>118</v>
      </c>
      <c r="AD71">
        <f>(AD68)*AD69*(1-AD70)/0.45</f>
        <v>7670000</v>
      </c>
      <c r="AE71" s="7"/>
      <c r="AF71" s="7"/>
      <c r="AG71" s="7"/>
      <c r="AH71" s="7"/>
      <c r="AI71" s="8"/>
    </row>
    <row r="72" spans="3:35" x14ac:dyDescent="0.2">
      <c r="C72" t="s">
        <v>27</v>
      </c>
      <c r="D72" s="18">
        <f>D71*N38</f>
        <v>15.299344384384385</v>
      </c>
      <c r="K72" s="8"/>
      <c r="M72" t="s">
        <v>49</v>
      </c>
      <c r="N72">
        <f>N69*N68/W31</f>
        <v>7.3539820227690067E-2</v>
      </c>
      <c r="Q72" s="8"/>
      <c r="S72" s="16" t="s">
        <v>183</v>
      </c>
      <c r="V72" s="8"/>
      <c r="Z72" s="8"/>
      <c r="AA72" s="6"/>
      <c r="AB72" s="7"/>
      <c r="AC72" s="7" t="s">
        <v>114</v>
      </c>
      <c r="AD72" s="7">
        <v>0.52</v>
      </c>
      <c r="AE72" s="7" t="s">
        <v>227</v>
      </c>
      <c r="AF72" s="7"/>
      <c r="AG72" s="7"/>
      <c r="AH72" s="7"/>
      <c r="AI72" s="8"/>
    </row>
    <row r="73" spans="3:35" x14ac:dyDescent="0.2">
      <c r="K73" s="8"/>
      <c r="M73" t="s">
        <v>50</v>
      </c>
      <c r="N73">
        <f>N70*N68/W32</f>
        <v>8.2736571339381663E-3</v>
      </c>
      <c r="Q73" s="8"/>
      <c r="V73" s="8"/>
      <c r="Z73" s="8"/>
      <c r="AA73" s="6"/>
      <c r="AB73" s="7"/>
      <c r="AC73" s="7" t="s">
        <v>115</v>
      </c>
      <c r="AD73" s="17">
        <f>AD71*(1-AD72)*D71</f>
        <v>49582.804828828834</v>
      </c>
      <c r="AE73" s="7"/>
      <c r="AF73" s="7"/>
      <c r="AG73" s="7"/>
      <c r="AH73" s="7"/>
      <c r="AI73" s="8"/>
    </row>
    <row r="74" spans="3:35" x14ac:dyDescent="0.2">
      <c r="C74" s="3" t="s">
        <v>9</v>
      </c>
      <c r="F74" s="59" t="s">
        <v>248</v>
      </c>
      <c r="G74" s="60">
        <v>1</v>
      </c>
      <c r="K74" s="8"/>
      <c r="M74" t="s">
        <v>254</v>
      </c>
      <c r="N74">
        <f>SUM(N72:N73)</f>
        <v>8.1813477361628237E-2</v>
      </c>
      <c r="Q74" s="8"/>
      <c r="V74" s="8"/>
      <c r="Z74" s="8"/>
      <c r="AA74" s="6"/>
      <c r="AB74" s="7"/>
      <c r="AC74" s="7" t="s">
        <v>117</v>
      </c>
      <c r="AD74" s="7">
        <f>$N$31*AD73</f>
        <v>56326066.285549559</v>
      </c>
      <c r="AE74" s="7"/>
      <c r="AF74" s="7"/>
      <c r="AG74" s="7"/>
      <c r="AH74" s="7"/>
      <c r="AI74" s="8"/>
    </row>
    <row r="75" spans="3:35" x14ac:dyDescent="0.2">
      <c r="C75" t="s">
        <v>22</v>
      </c>
      <c r="D75">
        <f>G32*N25</f>
        <v>12231.15</v>
      </c>
      <c r="F75" s="59"/>
      <c r="G75" s="60"/>
      <c r="K75" s="8"/>
      <c r="M75" s="3" t="s">
        <v>255</v>
      </c>
      <c r="N75" s="3">
        <f>N74*N31</f>
        <v>92.940110282809684</v>
      </c>
      <c r="Q75" s="8"/>
      <c r="R75" s="3" t="s">
        <v>184</v>
      </c>
      <c r="V75" s="8"/>
      <c r="Z75" s="8"/>
      <c r="AA75" s="6"/>
      <c r="AB75" s="7"/>
      <c r="AC75" s="7"/>
      <c r="AD75" s="7"/>
      <c r="AE75" s="7"/>
      <c r="AF75" s="7"/>
      <c r="AG75" s="7"/>
      <c r="AH75" s="7"/>
      <c r="AI75" s="8"/>
    </row>
    <row r="76" spans="3:35" x14ac:dyDescent="0.2">
      <c r="C76" t="s">
        <v>23</v>
      </c>
      <c r="D76">
        <v>0</v>
      </c>
      <c r="F76" s="59"/>
      <c r="G76" s="60"/>
      <c r="K76" s="8"/>
      <c r="M76" s="3" t="s">
        <v>256</v>
      </c>
      <c r="N76" s="3">
        <f>N67*N31</f>
        <v>21.54196235614905</v>
      </c>
      <c r="Q76" s="8"/>
      <c r="S76" t="s">
        <v>87</v>
      </c>
      <c r="T76">
        <v>1.5</v>
      </c>
      <c r="U76" s="16" t="s">
        <v>178</v>
      </c>
      <c r="V76" s="8"/>
      <c r="Z76" s="8"/>
      <c r="AA76" s="6"/>
      <c r="AB76" s="12" t="s">
        <v>134</v>
      </c>
      <c r="AC76" s="7"/>
      <c r="AD76" s="7"/>
      <c r="AE76" s="7"/>
      <c r="AF76" s="7"/>
      <c r="AG76" s="7"/>
      <c r="AH76" s="7"/>
      <c r="AI76" s="8"/>
    </row>
    <row r="77" spans="3:35" x14ac:dyDescent="0.2">
      <c r="C77" t="s">
        <v>24</v>
      </c>
      <c r="D77">
        <v>0.3</v>
      </c>
      <c r="F77" t="s">
        <v>249</v>
      </c>
      <c r="G77">
        <f>G74*D80</f>
        <v>4.0344327526132409</v>
      </c>
      <c r="K77" s="8"/>
      <c r="Q77" s="8"/>
      <c r="S77" t="s">
        <v>88</v>
      </c>
      <c r="T77">
        <v>82</v>
      </c>
      <c r="U77" s="16" t="s">
        <v>103</v>
      </c>
      <c r="V77" s="8"/>
      <c r="Z77" s="8"/>
      <c r="AA77" s="6"/>
      <c r="AB77" s="7"/>
      <c r="AC77" s="7" t="s">
        <v>125</v>
      </c>
      <c r="AD77">
        <f>((((40+96)/2)/1.28)/1.331)*0.67</f>
        <v>26.742111194590535</v>
      </c>
      <c r="AE77" s="7"/>
      <c r="AF77" s="7" t="s">
        <v>228</v>
      </c>
      <c r="AG77" s="7"/>
      <c r="AH77" s="7"/>
      <c r="AI77" s="8"/>
    </row>
    <row r="78" spans="3:35" x14ac:dyDescent="0.2">
      <c r="C78" t="s">
        <v>25</v>
      </c>
      <c r="D78" s="18">
        <f>F32*(1-SUM(D76:D77))</f>
        <v>3444000</v>
      </c>
      <c r="K78" s="8"/>
      <c r="M78" s="3" t="s">
        <v>243</v>
      </c>
      <c r="Q78" s="8"/>
      <c r="S78" t="s">
        <v>89</v>
      </c>
      <c r="T78">
        <v>4</v>
      </c>
      <c r="U78" s="16"/>
      <c r="V78" s="8"/>
      <c r="Z78" s="8"/>
      <c r="AA78" s="6"/>
      <c r="AB78" s="7"/>
      <c r="AC78" s="7" t="s">
        <v>126</v>
      </c>
      <c r="AD78">
        <f>((40+96)/2)</f>
        <v>68</v>
      </c>
      <c r="AE78" s="7"/>
      <c r="AF78" s="7" t="s">
        <v>229</v>
      </c>
      <c r="AG78" s="7"/>
      <c r="AH78" s="7"/>
      <c r="AI78" s="8"/>
    </row>
    <row r="79" spans="3:35" x14ac:dyDescent="0.2">
      <c r="C79" t="s">
        <v>26</v>
      </c>
      <c r="D79" s="18">
        <f>D75/D78</f>
        <v>3.5514372822299653E-3</v>
      </c>
      <c r="K79" s="8"/>
      <c r="Q79" s="8"/>
      <c r="S79" t="s">
        <v>90</v>
      </c>
      <c r="T79">
        <f>T76*T77*T78</f>
        <v>492</v>
      </c>
      <c r="U79" s="16"/>
      <c r="V79" s="8"/>
      <c r="Z79" s="8"/>
      <c r="AA79" s="6"/>
      <c r="AB79" s="7"/>
      <c r="AC79" s="7" t="s">
        <v>127</v>
      </c>
      <c r="AD79">
        <f>AD78-AD77</f>
        <v>41.257888805409465</v>
      </c>
      <c r="AE79" s="7"/>
      <c r="AF79" s="7" t="s">
        <v>230</v>
      </c>
      <c r="AG79" s="7"/>
      <c r="AH79" s="7"/>
      <c r="AI79" s="8"/>
    </row>
    <row r="80" spans="3:35" x14ac:dyDescent="0.2">
      <c r="C80" t="s">
        <v>27</v>
      </c>
      <c r="D80" s="18">
        <f>D79*N38</f>
        <v>4.0344327526132409</v>
      </c>
      <c r="K80" s="8"/>
      <c r="L80" s="29" t="s">
        <v>257</v>
      </c>
      <c r="Q80" s="8"/>
      <c r="S80" t="s">
        <v>91</v>
      </c>
      <c r="T80">
        <f>T79*N44/1000</f>
        <v>9.84</v>
      </c>
      <c r="U80" s="16"/>
      <c r="V80" s="8"/>
      <c r="Z80" s="8"/>
      <c r="AA80" s="6"/>
      <c r="AB80" s="7"/>
      <c r="AC80" s="7" t="s">
        <v>128</v>
      </c>
      <c r="AD80">
        <f>(AD77)*E41</f>
        <v>23800.478963185575</v>
      </c>
      <c r="AE80" s="7"/>
      <c r="AF80" s="7"/>
      <c r="AG80" s="7"/>
      <c r="AH80" s="7"/>
      <c r="AI80" s="8"/>
    </row>
    <row r="81" spans="1:35" x14ac:dyDescent="0.2">
      <c r="A81" s="7"/>
      <c r="B81" s="7"/>
      <c r="C81" s="7"/>
      <c r="D81" s="7"/>
      <c r="K81" s="8"/>
      <c r="M81" t="s">
        <v>261</v>
      </c>
      <c r="N81">
        <f>N25*G38</f>
        <v>0</v>
      </c>
      <c r="Q81" s="8"/>
      <c r="S81" t="s">
        <v>92</v>
      </c>
      <c r="T81">
        <f>T79*N38</f>
        <v>558912</v>
      </c>
      <c r="U81" s="16"/>
      <c r="V81" s="8"/>
      <c r="Z81" s="8"/>
      <c r="AA81" s="6"/>
      <c r="AB81" s="7"/>
      <c r="AC81" s="7" t="s">
        <v>129</v>
      </c>
      <c r="AD81">
        <f>AD79*E41</f>
        <v>36719.521036814425</v>
      </c>
      <c r="AE81" s="7"/>
      <c r="AF81" s="7"/>
      <c r="AG81" s="7"/>
      <c r="AH81" s="7"/>
      <c r="AI81" s="8"/>
    </row>
    <row r="82" spans="1:35" x14ac:dyDescent="0.2">
      <c r="C82" s="3" t="s">
        <v>313</v>
      </c>
      <c r="K82" s="8"/>
      <c r="M82" t="s">
        <v>48</v>
      </c>
      <c r="N82">
        <f>N81/E38</f>
        <v>0</v>
      </c>
      <c r="Q82" s="8"/>
      <c r="S82" t="s">
        <v>93</v>
      </c>
      <c r="T82">
        <f>T81/N43/10000</f>
        <v>43.326511627906974</v>
      </c>
      <c r="U82" s="16"/>
      <c r="V82" s="8"/>
      <c r="Z82" s="8"/>
      <c r="AA82" s="6"/>
      <c r="AB82" s="7"/>
      <c r="AC82" s="7" t="s">
        <v>130</v>
      </c>
      <c r="AD82">
        <f>N25*G41</f>
        <v>13046.56</v>
      </c>
      <c r="AE82" s="7"/>
      <c r="AF82" s="7"/>
      <c r="AG82" s="7"/>
      <c r="AH82" s="7"/>
      <c r="AI82" s="8"/>
    </row>
    <row r="83" spans="1:35" x14ac:dyDescent="0.2">
      <c r="C83" t="s">
        <v>22</v>
      </c>
      <c r="D83">
        <f>G26*N25</f>
        <v>0</v>
      </c>
      <c r="F83" t="s">
        <v>207</v>
      </c>
      <c r="G83" s="18">
        <f>G63*D88</f>
        <v>0</v>
      </c>
      <c r="K83" s="8"/>
      <c r="M83" t="s">
        <v>262</v>
      </c>
      <c r="N83">
        <f>N82/X26/T26</f>
        <v>0</v>
      </c>
      <c r="Q83" s="8"/>
      <c r="V83" s="8"/>
      <c r="Z83" s="8"/>
      <c r="AA83" s="6"/>
      <c r="AB83" s="7"/>
      <c r="AC83" s="7" t="s">
        <v>131</v>
      </c>
      <c r="AD83">
        <f>AD82/AD80</f>
        <v>0.54816375839243958</v>
      </c>
      <c r="AE83" s="7"/>
      <c r="AF83" s="7"/>
      <c r="AG83" s="7"/>
      <c r="AH83" s="7"/>
      <c r="AI83" s="8"/>
    </row>
    <row r="84" spans="1:35" x14ac:dyDescent="0.2">
      <c r="C84" t="s">
        <v>23</v>
      </c>
      <c r="D84">
        <v>0.1</v>
      </c>
      <c r="K84" s="8"/>
      <c r="M84" t="s">
        <v>263</v>
      </c>
      <c r="N84">
        <f>(70*(N83*T26)^0.75)*365</f>
        <v>0</v>
      </c>
      <c r="Q84" s="8"/>
      <c r="S84" s="16" t="s">
        <v>183</v>
      </c>
      <c r="V84" s="8"/>
      <c r="Z84" s="8"/>
      <c r="AA84" s="6"/>
      <c r="AB84" s="7"/>
      <c r="AC84" s="7" t="s">
        <v>132</v>
      </c>
      <c r="AD84">
        <f>AD83*N31</f>
        <v>622.71402953381141</v>
      </c>
      <c r="AE84" s="7"/>
      <c r="AF84" s="7"/>
      <c r="AG84" s="7"/>
      <c r="AH84" s="7"/>
      <c r="AI84" s="8"/>
    </row>
    <row r="85" spans="1:35" x14ac:dyDescent="0.2">
      <c r="C85" t="s">
        <v>24</v>
      </c>
      <c r="D85">
        <v>0.3</v>
      </c>
      <c r="K85" s="8"/>
      <c r="M85" t="s">
        <v>264</v>
      </c>
      <c r="N85">
        <v>0.65</v>
      </c>
      <c r="O85" s="60">
        <f>SUM(N85:N87)</f>
        <v>1</v>
      </c>
      <c r="Q85" s="8"/>
      <c r="V85" s="8"/>
      <c r="Z85" s="8"/>
      <c r="AA85" s="6"/>
      <c r="AB85" s="7"/>
      <c r="AC85" s="7" t="s">
        <v>133</v>
      </c>
      <c r="AD85">
        <f>AD84*AD79</f>
        <v>25691.866188074458</v>
      </c>
      <c r="AE85" s="7"/>
      <c r="AF85" s="7"/>
      <c r="AG85" s="7"/>
      <c r="AH85" s="7"/>
      <c r="AI85" s="8"/>
    </row>
    <row r="86" spans="1:35" x14ac:dyDescent="0.2">
      <c r="C86" t="s">
        <v>25</v>
      </c>
      <c r="D86" s="18">
        <f>F26*(1-(D84+D85))</f>
        <v>4752000</v>
      </c>
      <c r="K86" s="8"/>
      <c r="M86" t="s">
        <v>265</v>
      </c>
      <c r="N86">
        <v>0.1</v>
      </c>
      <c r="O86" s="60"/>
      <c r="Q86" s="8"/>
      <c r="V86" s="8"/>
      <c r="Z86" s="8"/>
      <c r="AA86" s="6"/>
      <c r="AB86" s="7"/>
      <c r="AC86" s="11" t="s">
        <v>187</v>
      </c>
      <c r="AD86" s="7">
        <f>AD84*AD81</f>
        <v>22865760.907386266</v>
      </c>
      <c r="AE86" s="7"/>
      <c r="AF86" s="7"/>
      <c r="AG86" s="7"/>
      <c r="AH86" s="7"/>
      <c r="AI86" s="8"/>
    </row>
    <row r="87" spans="1:35" x14ac:dyDescent="0.2">
      <c r="C87" t="s">
        <v>26</v>
      </c>
      <c r="D87" s="18">
        <f>D83/D86</f>
        <v>0</v>
      </c>
      <c r="K87" s="8"/>
      <c r="M87" t="s">
        <v>270</v>
      </c>
      <c r="N87">
        <v>0.25</v>
      </c>
      <c r="O87" s="60"/>
      <c r="Q87" s="8"/>
      <c r="R87" s="3" t="s">
        <v>244</v>
      </c>
      <c r="V87" s="8"/>
      <c r="Z87" s="8"/>
      <c r="AA87" s="6"/>
      <c r="AB87" s="12" t="s">
        <v>137</v>
      </c>
      <c r="AC87" s="7"/>
      <c r="AD87" s="7"/>
      <c r="AE87" s="7"/>
      <c r="AF87" s="7"/>
      <c r="AG87" s="7"/>
      <c r="AH87" s="7"/>
      <c r="AI87" s="8"/>
    </row>
    <row r="88" spans="1:35" x14ac:dyDescent="0.2">
      <c r="C88" t="s">
        <v>27</v>
      </c>
      <c r="D88" s="18">
        <f>D87*N38</f>
        <v>0</v>
      </c>
      <c r="K88" s="8"/>
      <c r="M88" t="s">
        <v>49</v>
      </c>
      <c r="N88">
        <f>N84*N85/W31</f>
        <v>0</v>
      </c>
      <c r="Q88" s="8"/>
      <c r="V88" s="8"/>
      <c r="Z88" s="8"/>
      <c r="AA88" s="6"/>
      <c r="AB88" s="7"/>
      <c r="AC88" s="7" t="s">
        <v>135</v>
      </c>
      <c r="AD88">
        <v>0.9</v>
      </c>
      <c r="AE88" s="7" t="s">
        <v>233</v>
      </c>
      <c r="AF88" s="7"/>
      <c r="AG88" s="7"/>
      <c r="AH88" s="7"/>
      <c r="AI88" s="8"/>
    </row>
    <row r="89" spans="1:35" x14ac:dyDescent="0.2">
      <c r="K89" s="8"/>
      <c r="M89" t="s">
        <v>50</v>
      </c>
      <c r="N89">
        <f>N86*N84/W32</f>
        <v>0</v>
      </c>
      <c r="Q89" s="8"/>
      <c r="V89" s="8"/>
      <c r="Z89" s="8"/>
      <c r="AA89" s="6"/>
      <c r="AB89" s="7"/>
      <c r="AC89" s="7" t="s">
        <v>136</v>
      </c>
      <c r="AD89">
        <v>0.2</v>
      </c>
      <c r="AE89" s="7" t="s">
        <v>234</v>
      </c>
      <c r="AF89" s="7"/>
      <c r="AG89" s="7"/>
      <c r="AH89" s="7"/>
      <c r="AI89" s="8"/>
    </row>
    <row r="90" spans="1:35" x14ac:dyDescent="0.2">
      <c r="A90" s="9"/>
      <c r="B90" s="9"/>
      <c r="C90" s="9"/>
      <c r="D90" s="9"/>
      <c r="E90" s="9"/>
      <c r="F90" s="9"/>
      <c r="G90" s="9"/>
      <c r="H90" s="9"/>
      <c r="I90" s="9"/>
      <c r="J90" s="9"/>
      <c r="K90" s="10"/>
      <c r="M90" t="s">
        <v>271</v>
      </c>
      <c r="N90">
        <f>N87*N84/W33</f>
        <v>0</v>
      </c>
      <c r="Q90" s="8"/>
      <c r="V90" s="8"/>
      <c r="Z90" s="8"/>
      <c r="AA90" s="6"/>
      <c r="AB90" s="7"/>
      <c r="AC90" s="7" t="s">
        <v>143</v>
      </c>
      <c r="AD90">
        <f>(1-AD88)*AD89</f>
        <v>1.9999999999999997E-2</v>
      </c>
      <c r="AE90" s="7"/>
      <c r="AF90" s="7"/>
      <c r="AG90" s="7"/>
      <c r="AH90" s="7"/>
      <c r="AI90" s="8"/>
    </row>
    <row r="91" spans="1:35" x14ac:dyDescent="0.2">
      <c r="K91" s="8"/>
      <c r="M91" t="s">
        <v>266</v>
      </c>
      <c r="N91">
        <f>SUM(N88:N90)</f>
        <v>0</v>
      </c>
      <c r="Q91" s="8"/>
      <c r="V91" s="8"/>
      <c r="Z91" s="8"/>
      <c r="AA91" s="6"/>
      <c r="AB91" s="7"/>
      <c r="AC91" s="7" t="s">
        <v>138</v>
      </c>
      <c r="AD91">
        <f>(AD89*AD88)*E43</f>
        <v>149.4</v>
      </c>
      <c r="AE91" s="7"/>
      <c r="AF91" s="7"/>
      <c r="AG91" s="7"/>
      <c r="AH91" s="7"/>
      <c r="AI91" s="8"/>
    </row>
    <row r="92" spans="1:35" x14ac:dyDescent="0.2">
      <c r="B92" s="3" t="s">
        <v>108</v>
      </c>
      <c r="D92" s="3" t="s">
        <v>109</v>
      </c>
      <c r="E92" s="3">
        <f>D99</f>
        <v>6.0417759828016253</v>
      </c>
      <c r="K92" s="8"/>
      <c r="M92" s="3" t="s">
        <v>267</v>
      </c>
      <c r="N92">
        <f>N91*N31</f>
        <v>0</v>
      </c>
      <c r="Q92" s="8"/>
      <c r="V92" s="8"/>
      <c r="Z92" s="8"/>
      <c r="AA92" s="6"/>
      <c r="AB92" s="7"/>
      <c r="AC92" s="7" t="s">
        <v>139</v>
      </c>
      <c r="AD92">
        <f>G43*N25</f>
        <v>48924.6</v>
      </c>
      <c r="AE92" s="7"/>
      <c r="AF92" s="7"/>
      <c r="AG92" s="7"/>
      <c r="AH92" s="7"/>
      <c r="AI92" s="8"/>
    </row>
    <row r="93" spans="1:35" x14ac:dyDescent="0.2">
      <c r="B93" s="3" t="s">
        <v>311</v>
      </c>
      <c r="K93" s="8"/>
      <c r="M93" s="3" t="s">
        <v>272</v>
      </c>
      <c r="N93">
        <f>N83*N31</f>
        <v>0</v>
      </c>
      <c r="Q93" s="8"/>
      <c r="V93" s="8"/>
      <c r="Z93" s="8"/>
      <c r="AA93" s="6"/>
      <c r="AB93" s="7"/>
      <c r="AC93" s="7" t="s">
        <v>140</v>
      </c>
      <c r="AD93">
        <f>AD92/AD91</f>
        <v>327.47389558232931</v>
      </c>
      <c r="AF93" s="7"/>
      <c r="AG93" s="7"/>
      <c r="AH93" s="7"/>
      <c r="AI93" s="8"/>
    </row>
    <row r="94" spans="1:35" x14ac:dyDescent="0.2">
      <c r="C94" t="s">
        <v>22</v>
      </c>
      <c r="D94">
        <f>N25*G29</f>
        <v>20385.25</v>
      </c>
      <c r="K94" s="8"/>
      <c r="Q94" s="8"/>
      <c r="V94" s="8"/>
      <c r="Z94" s="8"/>
      <c r="AA94" s="6"/>
      <c r="AB94" s="7"/>
      <c r="AC94" s="7" t="s">
        <v>141</v>
      </c>
      <c r="AD94">
        <f>AD93*N31</f>
        <v>372010.3453815261</v>
      </c>
      <c r="AE94" s="7" t="s">
        <v>317</v>
      </c>
      <c r="AF94" s="7"/>
      <c r="AG94" s="7"/>
      <c r="AH94" s="7"/>
      <c r="AI94" s="8"/>
    </row>
    <row r="95" spans="1:35" x14ac:dyDescent="0.2">
      <c r="C95" t="s">
        <v>23</v>
      </c>
      <c r="D95">
        <v>0</v>
      </c>
      <c r="K95" s="8"/>
      <c r="Q95" s="8"/>
      <c r="V95" s="8"/>
      <c r="Z95" s="8"/>
      <c r="AA95" s="6"/>
      <c r="AB95" s="7"/>
      <c r="AC95" s="7" t="s">
        <v>142</v>
      </c>
      <c r="AD95">
        <f>AD90*AD94</f>
        <v>7440.2069076305206</v>
      </c>
      <c r="AE95" s="7"/>
      <c r="AF95" s="7"/>
      <c r="AG95" s="7"/>
      <c r="AH95" s="7"/>
      <c r="AI95" s="8"/>
    </row>
    <row r="96" spans="1:35" x14ac:dyDescent="0.2">
      <c r="C96" t="s">
        <v>24</v>
      </c>
      <c r="D96">
        <v>0.3</v>
      </c>
      <c r="K96" s="8"/>
      <c r="Q96" s="8"/>
      <c r="V96" s="8"/>
      <c r="Z96" s="8"/>
      <c r="AA96" s="6"/>
      <c r="AB96" s="7"/>
      <c r="AC96" s="7" t="s">
        <v>144</v>
      </c>
      <c r="AD96">
        <f>AD95*E42</f>
        <v>8935688.496064255</v>
      </c>
      <c r="AE96" s="7"/>
      <c r="AF96" s="7"/>
      <c r="AG96" s="7"/>
      <c r="AH96" s="7"/>
      <c r="AI96" s="8"/>
    </row>
    <row r="97" spans="3:35" x14ac:dyDescent="0.2">
      <c r="C97" t="s">
        <v>25</v>
      </c>
      <c r="D97">
        <f>F29*(1-SUM(D95:D96))</f>
        <v>3832919.9999999995</v>
      </c>
      <c r="K97" s="8"/>
      <c r="Q97" s="8"/>
      <c r="V97" s="8"/>
      <c r="Z97" s="8"/>
      <c r="AA97" s="6"/>
      <c r="AB97" s="7"/>
      <c r="AC97" s="7"/>
      <c r="AD97" s="7"/>
      <c r="AE97" s="7"/>
      <c r="AF97" s="7"/>
      <c r="AG97" s="7"/>
      <c r="AH97" s="7"/>
      <c r="AI97" s="8"/>
    </row>
    <row r="98" spans="3:35" x14ac:dyDescent="0.2">
      <c r="C98" t="s">
        <v>26</v>
      </c>
      <c r="D98">
        <f>D94/D97</f>
        <v>5.3184647735929798E-3</v>
      </c>
      <c r="K98" s="8"/>
      <c r="Q98" s="8"/>
      <c r="V98" s="8"/>
      <c r="Z98" s="8"/>
      <c r="AA98" s="6"/>
      <c r="AB98" s="12" t="s">
        <v>121</v>
      </c>
      <c r="AC98" s="7"/>
      <c r="AD98" s="7"/>
      <c r="AE98" s="7"/>
      <c r="AF98" s="7"/>
      <c r="AG98" s="7"/>
      <c r="AH98" s="7"/>
      <c r="AI98" s="8"/>
    </row>
    <row r="99" spans="3:35" x14ac:dyDescent="0.2">
      <c r="C99" t="s">
        <v>27</v>
      </c>
      <c r="D99">
        <f>D98*N38</f>
        <v>6.0417759828016253</v>
      </c>
      <c r="K99" s="8"/>
      <c r="Q99" s="8"/>
      <c r="V99" s="8"/>
      <c r="Z99" s="8"/>
      <c r="AA99" s="6"/>
      <c r="AB99" s="7"/>
      <c r="AC99" s="7" t="s">
        <v>145</v>
      </c>
      <c r="AD99" s="7">
        <v>0.5</v>
      </c>
      <c r="AE99" s="7" t="s">
        <v>113</v>
      </c>
      <c r="AF99" s="7"/>
      <c r="AG99" s="7"/>
      <c r="AH99" s="7"/>
      <c r="AI99" s="8"/>
    </row>
    <row r="100" spans="3:35" x14ac:dyDescent="0.2">
      <c r="K100" s="8"/>
      <c r="Q100" s="8"/>
      <c r="V100" s="8"/>
      <c r="Z100" s="8"/>
      <c r="AA100" s="6"/>
      <c r="AB100" s="7"/>
      <c r="AC100" s="7" t="s">
        <v>146</v>
      </c>
      <c r="AD100" s="7">
        <f>AD99*365</f>
        <v>182.5</v>
      </c>
      <c r="AE100" s="7"/>
      <c r="AF100" s="7"/>
      <c r="AG100" s="7"/>
      <c r="AH100" s="7"/>
      <c r="AI100" s="8"/>
    </row>
    <row r="101" spans="3:35" x14ac:dyDescent="0.2">
      <c r="K101" s="8"/>
      <c r="Q101" s="8"/>
      <c r="V101" s="8"/>
      <c r="Z101" s="8"/>
      <c r="AA101" s="6"/>
      <c r="AB101" s="7"/>
      <c r="AC101" s="7" t="s">
        <v>148</v>
      </c>
      <c r="AD101" s="7">
        <f>V35</f>
        <v>890</v>
      </c>
      <c r="AE101" s="7"/>
      <c r="AF101" s="7"/>
      <c r="AG101" s="7"/>
      <c r="AH101" s="7"/>
      <c r="AI101" s="8"/>
    </row>
    <row r="102" spans="3:35" x14ac:dyDescent="0.2">
      <c r="K102" s="8"/>
      <c r="Q102" s="8"/>
      <c r="V102" s="8"/>
      <c r="Z102" s="8"/>
      <c r="AA102" s="6"/>
      <c r="AB102" s="7"/>
      <c r="AC102" s="7" t="s">
        <v>147</v>
      </c>
      <c r="AD102" s="7">
        <f>AD100*AD101</f>
        <v>162425</v>
      </c>
      <c r="AE102" s="7"/>
      <c r="AF102" s="7"/>
      <c r="AG102" s="7"/>
      <c r="AH102" s="7"/>
      <c r="AI102" s="8"/>
    </row>
    <row r="103" spans="3:35" x14ac:dyDescent="0.2">
      <c r="K103" s="8"/>
      <c r="Q103" s="8"/>
      <c r="V103" s="8"/>
      <c r="Z103" s="8"/>
      <c r="AA103" s="6"/>
      <c r="AB103" s="7"/>
      <c r="AC103" s="7" t="s">
        <v>150</v>
      </c>
      <c r="AD103" s="7">
        <f>AD100*N31</f>
        <v>207320</v>
      </c>
      <c r="AE103" s="7"/>
      <c r="AF103" s="7"/>
      <c r="AG103" s="7"/>
      <c r="AH103" s="7"/>
      <c r="AI103" s="8"/>
    </row>
    <row r="104" spans="3:35" x14ac:dyDescent="0.2">
      <c r="K104" s="8"/>
      <c r="Q104" s="8"/>
      <c r="V104" s="8"/>
      <c r="Z104" s="8"/>
      <c r="AA104" s="6"/>
      <c r="AB104" s="7"/>
      <c r="AC104" s="7" t="s">
        <v>149</v>
      </c>
      <c r="AD104" s="7">
        <f>AD102*N38</f>
        <v>184514800</v>
      </c>
      <c r="AE104" s="7"/>
      <c r="AF104" s="7"/>
      <c r="AG104" s="7"/>
      <c r="AH104" s="7"/>
      <c r="AI104" s="8"/>
    </row>
    <row r="105" spans="3:35" x14ac:dyDescent="0.2">
      <c r="K105" s="8"/>
      <c r="Q105" s="8"/>
      <c r="V105" s="8"/>
      <c r="Z105" s="8"/>
      <c r="AA105" s="6"/>
      <c r="AB105" s="7"/>
      <c r="AC105" s="7"/>
      <c r="AD105" s="7"/>
      <c r="AE105" s="7"/>
      <c r="AF105" s="7"/>
      <c r="AG105" s="7"/>
      <c r="AH105" s="7"/>
      <c r="AI105" s="8"/>
    </row>
    <row r="106" spans="3:35" x14ac:dyDescent="0.2">
      <c r="Z106" s="8"/>
      <c r="AA106" s="23"/>
      <c r="AB106" s="9"/>
      <c r="AC106" s="9"/>
      <c r="AD106" s="9"/>
      <c r="AE106" s="9"/>
      <c r="AF106" s="9"/>
      <c r="AG106" s="9"/>
      <c r="AH106" s="9"/>
      <c r="AI106" s="10"/>
    </row>
  </sheetData>
  <mergeCells count="10">
    <mergeCell ref="O85:O87"/>
    <mergeCell ref="O69:O71"/>
    <mergeCell ref="F74:F76"/>
    <mergeCell ref="G74:G76"/>
    <mergeCell ref="B25:B33"/>
    <mergeCell ref="O53:O54"/>
    <mergeCell ref="F67:F68"/>
    <mergeCell ref="G67:G68"/>
    <mergeCell ref="B34:B39"/>
    <mergeCell ref="B40:B4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62EE79-2B6D-B04D-9FF4-E76BA0D88A4D}">
  <dimension ref="A1:AI106"/>
  <sheetViews>
    <sheetView topLeftCell="A36" workbookViewId="0">
      <selection activeCell="H41" sqref="H41"/>
    </sheetView>
  </sheetViews>
  <sheetFormatPr baseColWidth="10" defaultRowHeight="16" x14ac:dyDescent="0.2"/>
  <cols>
    <col min="1" max="1" width="13.33203125" customWidth="1"/>
    <col min="2" max="2" width="14" customWidth="1"/>
    <col min="3" max="3" width="34.6640625" customWidth="1"/>
    <col min="4" max="4" width="19" customWidth="1"/>
    <col min="6" max="6" width="15" customWidth="1"/>
    <col min="13" max="13" width="43.5" customWidth="1"/>
    <col min="18" max="18" width="14.6640625" customWidth="1"/>
    <col min="19" max="19" width="43.83203125" customWidth="1"/>
    <col min="20" max="20" width="17.5" customWidth="1"/>
    <col min="22" max="22" width="14.5" customWidth="1"/>
    <col min="23" max="23" width="23.5" customWidth="1"/>
    <col min="24" max="24" width="33" customWidth="1"/>
    <col min="27" max="27" width="22.83203125" bestFit="1" customWidth="1"/>
    <col min="28" max="28" width="13.33203125" customWidth="1"/>
    <col min="29" max="29" width="50.1640625" bestFit="1" customWidth="1"/>
    <col min="30" max="30" width="12.1640625" bestFit="1" customWidth="1"/>
    <col min="33" max="33" width="45.6640625" bestFit="1" customWidth="1"/>
  </cols>
  <sheetData>
    <row r="1" spans="1:5" ht="21" x14ac:dyDescent="0.25">
      <c r="A1" s="2" t="s">
        <v>0</v>
      </c>
    </row>
    <row r="2" spans="1:5" ht="21" x14ac:dyDescent="0.25">
      <c r="A2" s="2" t="s">
        <v>167</v>
      </c>
      <c r="B2" s="2">
        <v>1800</v>
      </c>
    </row>
    <row r="3" spans="1:5" s="9" customFormat="1" ht="21" x14ac:dyDescent="0.25">
      <c r="A3" s="19" t="s">
        <v>166</v>
      </c>
      <c r="B3" s="19" t="s">
        <v>295</v>
      </c>
    </row>
    <row r="7" spans="1:5" ht="19" x14ac:dyDescent="0.25">
      <c r="B7" s="20" t="s">
        <v>168</v>
      </c>
      <c r="C7" s="4"/>
      <c r="D7" s="4"/>
      <c r="E7" s="5"/>
    </row>
    <row r="8" spans="1:5" x14ac:dyDescent="0.2">
      <c r="B8" s="21" t="s">
        <v>169</v>
      </c>
      <c r="C8" s="12" t="s">
        <v>251</v>
      </c>
      <c r="D8" s="12" t="s">
        <v>104</v>
      </c>
      <c r="E8" s="22" t="s">
        <v>252</v>
      </c>
    </row>
    <row r="9" spans="1:5" x14ac:dyDescent="0.2">
      <c r="B9" s="6">
        <v>1</v>
      </c>
      <c r="C9" s="7" t="s">
        <v>105</v>
      </c>
      <c r="D9" s="15">
        <f>N34*(N38/N31)</f>
        <v>5.5500000000000007</v>
      </c>
      <c r="E9" s="8">
        <v>1</v>
      </c>
    </row>
    <row r="10" spans="1:5" x14ac:dyDescent="0.2">
      <c r="B10" s="6">
        <v>2</v>
      </c>
      <c r="C10" s="7" t="s">
        <v>212</v>
      </c>
      <c r="D10" s="15">
        <f>E48+G69</f>
        <v>112.31717880032849</v>
      </c>
      <c r="E10" s="8">
        <v>2</v>
      </c>
    </row>
    <row r="11" spans="1:5" x14ac:dyDescent="0.2">
      <c r="B11" s="6">
        <v>3</v>
      </c>
      <c r="C11" s="7" t="s">
        <v>213</v>
      </c>
      <c r="D11" s="15">
        <f>E57</f>
        <v>90.057504444444461</v>
      </c>
      <c r="E11" s="8">
        <v>3</v>
      </c>
    </row>
    <row r="12" spans="1:5" x14ac:dyDescent="0.2">
      <c r="B12" s="6">
        <v>4</v>
      </c>
      <c r="C12" s="7" t="s">
        <v>214</v>
      </c>
      <c r="D12" s="15">
        <f>D11/(1/3)-D11</f>
        <v>180.11500888888895</v>
      </c>
      <c r="E12" s="8">
        <v>4</v>
      </c>
    </row>
    <row r="13" spans="1:5" x14ac:dyDescent="0.2">
      <c r="B13" s="6">
        <v>5</v>
      </c>
      <c r="C13" s="7" t="s">
        <v>285</v>
      </c>
      <c r="D13" s="15">
        <f>N75+N92</f>
        <v>92.940110282809684</v>
      </c>
      <c r="E13" s="8">
        <v>4</v>
      </c>
    </row>
    <row r="14" spans="1:5" x14ac:dyDescent="0.2">
      <c r="B14" s="6">
        <v>6</v>
      </c>
      <c r="C14" s="7" t="s">
        <v>215</v>
      </c>
      <c r="D14" s="15">
        <f>E92</f>
        <v>6.0417759828016253</v>
      </c>
      <c r="E14" s="8">
        <v>5</v>
      </c>
    </row>
    <row r="15" spans="1:5" x14ac:dyDescent="0.2">
      <c r="B15" s="6">
        <v>7</v>
      </c>
      <c r="C15" s="7" t="s">
        <v>216</v>
      </c>
      <c r="D15" s="15">
        <f>U47</f>
        <v>85.199999999999989</v>
      </c>
      <c r="E15" s="8">
        <v>5</v>
      </c>
    </row>
    <row r="16" spans="1:5" x14ac:dyDescent="0.2">
      <c r="B16" s="6">
        <v>8</v>
      </c>
      <c r="C16" s="7" t="s">
        <v>238</v>
      </c>
      <c r="D16" s="15">
        <f>N58</f>
        <v>60.675686759809338</v>
      </c>
      <c r="E16" s="8">
        <v>6</v>
      </c>
    </row>
    <row r="17" spans="1:35" x14ac:dyDescent="0.2">
      <c r="B17" s="6">
        <v>9</v>
      </c>
      <c r="C17" s="7" t="s">
        <v>106</v>
      </c>
      <c r="D17" s="15">
        <f>Y52</f>
        <v>1389.99584304</v>
      </c>
      <c r="E17" s="8">
        <v>6</v>
      </c>
    </row>
    <row r="18" spans="1:35" x14ac:dyDescent="0.2">
      <c r="B18" s="6">
        <v>10</v>
      </c>
      <c r="C18" s="7" t="s">
        <v>211</v>
      </c>
      <c r="D18" s="15">
        <f>SUM(D9:D15)+D16</f>
        <v>632.89726515908251</v>
      </c>
      <c r="E18" s="8" t="s">
        <v>16</v>
      </c>
    </row>
    <row r="19" spans="1:35" x14ac:dyDescent="0.2">
      <c r="B19" s="23">
        <v>11</v>
      </c>
      <c r="C19" s="46" t="s">
        <v>253</v>
      </c>
      <c r="D19" s="41">
        <f>SUM(D9:D17)</f>
        <v>2022.8931081990825</v>
      </c>
      <c r="E19" s="10" t="s">
        <v>16</v>
      </c>
    </row>
    <row r="21" spans="1:35" s="4" customFormat="1" x14ac:dyDescent="0.2">
      <c r="A21" s="26"/>
      <c r="K21" s="5"/>
      <c r="Q21" s="5"/>
      <c r="R21" s="26"/>
      <c r="Z21" s="5"/>
      <c r="AA21" s="26"/>
      <c r="AI21" s="5"/>
    </row>
    <row r="22" spans="1:35" ht="19" x14ac:dyDescent="0.25">
      <c r="A22" s="27" t="s">
        <v>170</v>
      </c>
      <c r="C22" s="7"/>
      <c r="D22" s="7"/>
      <c r="E22" s="7"/>
      <c r="F22" s="7"/>
      <c r="G22" s="7"/>
      <c r="H22" s="7"/>
      <c r="I22" s="7"/>
      <c r="J22" s="7"/>
      <c r="K22" s="8"/>
      <c r="L22" s="7"/>
      <c r="M22" s="7"/>
      <c r="N22" s="7"/>
      <c r="O22" s="7"/>
      <c r="P22" s="7"/>
      <c r="Q22" s="8"/>
      <c r="R22" s="6"/>
      <c r="S22" s="7"/>
      <c r="T22" s="7"/>
      <c r="U22" s="7"/>
      <c r="V22" s="7"/>
      <c r="W22" s="7"/>
      <c r="X22" s="7"/>
      <c r="Y22" s="7"/>
      <c r="Z22" s="8"/>
      <c r="AA22" s="6"/>
      <c r="AB22" s="7"/>
      <c r="AC22" s="7"/>
      <c r="AD22" s="7"/>
      <c r="AE22" s="7"/>
      <c r="AF22" s="7"/>
      <c r="AG22" s="7"/>
      <c r="AH22" s="7"/>
      <c r="AI22" s="8"/>
    </row>
    <row r="23" spans="1:35" ht="19" x14ac:dyDescent="0.25">
      <c r="A23" s="24" t="s">
        <v>28</v>
      </c>
      <c r="C23" s="7"/>
      <c r="D23" s="7"/>
      <c r="E23" s="7"/>
      <c r="F23" s="7"/>
      <c r="G23" s="7"/>
      <c r="H23" s="7"/>
      <c r="I23" s="7"/>
      <c r="J23" s="7"/>
      <c r="K23" s="8"/>
      <c r="L23" s="24" t="s">
        <v>31</v>
      </c>
      <c r="N23" s="7"/>
      <c r="O23" s="7"/>
      <c r="P23" s="7"/>
      <c r="Q23" s="8"/>
      <c r="R23" s="31" t="s">
        <v>45</v>
      </c>
      <c r="S23" s="7"/>
      <c r="T23" s="7"/>
      <c r="U23" s="7"/>
      <c r="V23" s="7"/>
      <c r="W23" s="7"/>
      <c r="X23" s="7"/>
      <c r="Y23" s="7"/>
      <c r="Z23" s="8"/>
      <c r="AA23" s="31" t="s">
        <v>152</v>
      </c>
      <c r="AB23" s="7"/>
      <c r="AC23" s="7"/>
      <c r="AD23" s="7"/>
      <c r="AE23" s="7"/>
      <c r="AF23" s="7"/>
      <c r="AG23" s="7"/>
      <c r="AH23" s="7"/>
      <c r="AI23" s="8"/>
    </row>
    <row r="24" spans="1:35" ht="34" x14ac:dyDescent="0.2">
      <c r="A24" s="6"/>
      <c r="B24" s="51"/>
      <c r="C24" s="51" t="s">
        <v>1</v>
      </c>
      <c r="D24" s="51" t="s">
        <v>2</v>
      </c>
      <c r="E24" s="47" t="s">
        <v>3</v>
      </c>
      <c r="F24" s="47" t="s">
        <v>4</v>
      </c>
      <c r="G24" s="48" t="s">
        <v>44</v>
      </c>
      <c r="H24" t="s">
        <v>18</v>
      </c>
      <c r="I24" s="7"/>
      <c r="J24" s="7"/>
      <c r="K24" s="8"/>
      <c r="L24" s="7"/>
      <c r="M24" s="7" t="s">
        <v>29</v>
      </c>
      <c r="N24" s="7">
        <v>2234</v>
      </c>
      <c r="O24" s="7" t="s">
        <v>172</v>
      </c>
      <c r="P24" s="7"/>
      <c r="Q24" s="8"/>
      <c r="R24" s="6"/>
      <c r="S24" s="33" t="s">
        <v>47</v>
      </c>
      <c r="T24" s="28">
        <v>45</v>
      </c>
      <c r="U24" s="7"/>
      <c r="V24" s="7"/>
      <c r="W24" s="14" t="s">
        <v>52</v>
      </c>
      <c r="X24" s="28">
        <v>7.3599999999999999E-2</v>
      </c>
      <c r="Y24" s="7" t="s">
        <v>274</v>
      </c>
      <c r="Z24" s="8"/>
      <c r="AA24" s="6"/>
      <c r="AB24" s="7"/>
      <c r="AC24" s="12" t="s">
        <v>153</v>
      </c>
      <c r="AD24" s="12" t="s">
        <v>154</v>
      </c>
      <c r="AE24" s="7"/>
      <c r="AF24" s="7"/>
      <c r="AG24" s="7" t="s">
        <v>161</v>
      </c>
      <c r="AH24" s="7">
        <f>N59</f>
        <v>391.23754978607303</v>
      </c>
      <c r="AI24" s="8"/>
    </row>
    <row r="25" spans="1:35" ht="34" x14ac:dyDescent="0.2">
      <c r="A25" s="6"/>
      <c r="B25" s="61" t="s">
        <v>17</v>
      </c>
      <c r="C25" t="s">
        <v>5</v>
      </c>
      <c r="D25" s="51">
        <v>1650</v>
      </c>
      <c r="E25" s="54">
        <v>3540</v>
      </c>
      <c r="F25" s="49">
        <f>D25*E25</f>
        <v>5841000</v>
      </c>
      <c r="G25" s="51">
        <v>0.32</v>
      </c>
      <c r="I25" s="7"/>
      <c r="L25" s="7"/>
      <c r="M25" s="7" t="s">
        <v>30</v>
      </c>
      <c r="N25" s="7">
        <f>N24*365</f>
        <v>815410</v>
      </c>
      <c r="O25" s="7"/>
      <c r="P25" s="7"/>
      <c r="Q25" s="8"/>
      <c r="R25" s="6"/>
      <c r="S25" s="33" t="s">
        <v>46</v>
      </c>
      <c r="T25" s="28">
        <v>436</v>
      </c>
      <c r="U25" s="32" t="s">
        <v>218</v>
      </c>
      <c r="V25" s="7"/>
      <c r="W25" s="14" t="s">
        <v>53</v>
      </c>
      <c r="X25" s="28">
        <v>0.222</v>
      </c>
      <c r="Y25" s="32" t="s">
        <v>275</v>
      </c>
      <c r="Z25" s="8"/>
      <c r="AA25" s="6"/>
      <c r="AB25" s="12" t="s">
        <v>151</v>
      </c>
      <c r="AC25" s="36">
        <f>AD56/1000</f>
        <v>594641.71070220461</v>
      </c>
      <c r="AD25" s="36">
        <f>AC25*$AB$39</f>
        <v>285428021.1370582</v>
      </c>
      <c r="AE25" s="7"/>
      <c r="AF25" s="7"/>
      <c r="AG25" s="7" t="s">
        <v>162</v>
      </c>
      <c r="AH25" s="7">
        <f>N52/N51</f>
        <v>579475.04789838311</v>
      </c>
      <c r="AI25" s="8"/>
    </row>
    <row r="26" spans="1:35" ht="34" x14ac:dyDescent="0.2">
      <c r="A26" s="6"/>
      <c r="B26" s="61"/>
      <c r="C26" t="s">
        <v>315</v>
      </c>
      <c r="D26" s="51">
        <v>6000</v>
      </c>
      <c r="E26" s="54">
        <v>1320</v>
      </c>
      <c r="F26" s="49">
        <f t="shared" ref="F26:F32" si="0">D26*E26</f>
        <v>7920000</v>
      </c>
      <c r="G26" s="51">
        <v>0.42</v>
      </c>
      <c r="I26" s="7"/>
      <c r="J26" s="7"/>
      <c r="K26" s="8"/>
      <c r="L26" s="7"/>
      <c r="M26" s="7"/>
      <c r="N26" s="7"/>
      <c r="O26" s="7"/>
      <c r="P26" s="7"/>
      <c r="Q26" s="8"/>
      <c r="R26" s="6"/>
      <c r="S26" s="33" t="s">
        <v>269</v>
      </c>
      <c r="T26" s="28">
        <v>35</v>
      </c>
      <c r="U26" s="7"/>
      <c r="V26" s="7"/>
      <c r="W26" s="14" t="s">
        <v>273</v>
      </c>
      <c r="X26" s="28">
        <v>0.113</v>
      </c>
      <c r="Y26" s="7" t="s">
        <v>274</v>
      </c>
      <c r="Z26" s="8"/>
      <c r="AA26" s="6"/>
      <c r="AB26" s="12" t="s">
        <v>155</v>
      </c>
      <c r="AC26" s="36">
        <f>AD65/1000</f>
        <v>0</v>
      </c>
      <c r="AD26" s="36">
        <f>AC26*$AB$39</f>
        <v>0</v>
      </c>
      <c r="AE26" s="7"/>
      <c r="AF26" s="7"/>
      <c r="AG26" s="7" t="s">
        <v>163</v>
      </c>
      <c r="AH26" s="36">
        <f>AH25*AH24</f>
        <v>226712397.90193072</v>
      </c>
      <c r="AI26" s="8"/>
    </row>
    <row r="27" spans="1:35" ht="16" customHeight="1" x14ac:dyDescent="0.2">
      <c r="A27" s="6"/>
      <c r="B27" s="61"/>
      <c r="C27" t="s">
        <v>120</v>
      </c>
      <c r="D27" s="51">
        <v>2000</v>
      </c>
      <c r="E27" s="54">
        <v>1110</v>
      </c>
      <c r="F27" s="49">
        <f t="shared" si="0"/>
        <v>2220000</v>
      </c>
      <c r="G27" s="51">
        <v>2.1999999999999999E-2</v>
      </c>
      <c r="I27" s="7"/>
      <c r="J27" s="7"/>
      <c r="K27" s="8"/>
      <c r="L27" s="9"/>
      <c r="M27" s="9"/>
      <c r="N27" s="9"/>
      <c r="O27" s="9"/>
      <c r="P27" s="9"/>
      <c r="Q27" s="10"/>
      <c r="R27" s="6"/>
      <c r="S27" s="7"/>
      <c r="T27" s="7"/>
      <c r="U27" s="7"/>
      <c r="V27" s="7"/>
      <c r="W27" s="7"/>
      <c r="X27" s="7"/>
      <c r="Y27" s="7"/>
      <c r="Z27" s="8"/>
      <c r="AA27" s="6"/>
      <c r="AB27" s="12" t="s">
        <v>156</v>
      </c>
      <c r="AC27" s="36">
        <f>AD74/1000</f>
        <v>56326.066285549561</v>
      </c>
      <c r="AD27" s="36">
        <f>AC27*AB40</f>
        <v>13574581.974817444</v>
      </c>
      <c r="AE27" s="7"/>
      <c r="AF27" s="7"/>
      <c r="AG27" s="7"/>
      <c r="AH27" s="7"/>
      <c r="AI27" s="8"/>
    </row>
    <row r="28" spans="1:35" x14ac:dyDescent="0.2">
      <c r="A28" s="6"/>
      <c r="B28" s="61"/>
      <c r="C28" t="s">
        <v>276</v>
      </c>
      <c r="D28" s="51">
        <v>5000</v>
      </c>
      <c r="E28" s="54">
        <v>950</v>
      </c>
      <c r="F28" s="49">
        <f t="shared" si="0"/>
        <v>4750000</v>
      </c>
      <c r="G28" s="51">
        <v>0</v>
      </c>
      <c r="I28" s="7"/>
      <c r="J28" s="7"/>
      <c r="K28" s="8"/>
      <c r="L28" s="7"/>
      <c r="M28" s="7"/>
      <c r="N28" s="7"/>
      <c r="O28" s="7"/>
      <c r="P28" s="7"/>
      <c r="Q28" s="8"/>
      <c r="R28" s="6"/>
      <c r="S28" s="7"/>
      <c r="T28" s="7"/>
      <c r="Y28" s="7"/>
      <c r="Z28" s="8"/>
      <c r="AA28" s="6"/>
      <c r="AB28" s="12" t="s">
        <v>157</v>
      </c>
      <c r="AC28" s="36">
        <f>AD85</f>
        <v>25691.866188074458</v>
      </c>
      <c r="AD28" s="36">
        <f>AD86</f>
        <v>22865760.907386266</v>
      </c>
      <c r="AE28" s="7"/>
      <c r="AF28" s="7"/>
      <c r="AG28" s="7"/>
      <c r="AH28" s="7"/>
      <c r="AI28" s="8"/>
    </row>
    <row r="29" spans="1:35" ht="19" x14ac:dyDescent="0.25">
      <c r="A29" s="6"/>
      <c r="B29" s="61"/>
      <c r="C29" t="s">
        <v>311</v>
      </c>
      <c r="D29" s="51">
        <v>5070</v>
      </c>
      <c r="E29" s="54">
        <v>1080</v>
      </c>
      <c r="F29" s="49">
        <f t="shared" si="0"/>
        <v>5475600</v>
      </c>
      <c r="G29" s="51">
        <v>2.5000000000000001E-2</v>
      </c>
      <c r="I29" s="7"/>
      <c r="J29" s="7"/>
      <c r="K29" s="8"/>
      <c r="L29" s="24" t="s">
        <v>32</v>
      </c>
      <c r="N29" s="7"/>
      <c r="O29" s="7"/>
      <c r="P29" s="7"/>
      <c r="Q29" s="8"/>
      <c r="R29" s="6"/>
      <c r="S29" s="7"/>
      <c r="T29" s="7"/>
      <c r="U29" s="28" t="s">
        <v>56</v>
      </c>
      <c r="V29" s="28" t="s">
        <v>57</v>
      </c>
      <c r="W29" s="28" t="s">
        <v>58</v>
      </c>
      <c r="X29" s="7"/>
      <c r="Y29" s="7"/>
      <c r="Z29" s="8"/>
      <c r="AA29" s="6"/>
      <c r="AB29" s="12" t="s">
        <v>158</v>
      </c>
      <c r="AC29" s="36">
        <f>AD95</f>
        <v>7440.2069076305206</v>
      </c>
      <c r="AD29" s="36">
        <f t="shared" ref="AD29" si="1">AC29*$AB$39</f>
        <v>3571299.3156626499</v>
      </c>
      <c r="AE29" s="7"/>
      <c r="AF29" s="7"/>
      <c r="AG29" s="7" t="s">
        <v>164</v>
      </c>
      <c r="AH29" s="7" t="str">
        <f>IF(AD31&gt;AH26,"YES","NO")</f>
        <v>YES</v>
      </c>
      <c r="AI29" s="8"/>
    </row>
    <row r="30" spans="1:35" x14ac:dyDescent="0.2">
      <c r="A30" s="6"/>
      <c r="B30" s="61"/>
      <c r="C30" t="s">
        <v>7</v>
      </c>
      <c r="D30" s="49" t="s">
        <v>16</v>
      </c>
      <c r="E30" s="49" t="s">
        <v>16</v>
      </c>
      <c r="F30" s="49" t="s">
        <v>16</v>
      </c>
      <c r="G30" s="51">
        <v>0</v>
      </c>
      <c r="I30" s="7"/>
      <c r="J30" s="7"/>
      <c r="K30" s="8"/>
      <c r="L30" s="7"/>
      <c r="M30" s="12" t="s">
        <v>34</v>
      </c>
      <c r="N30" s="12" t="s">
        <v>35</v>
      </c>
      <c r="O30" s="12" t="s">
        <v>36</v>
      </c>
      <c r="P30" s="7"/>
      <c r="Q30" s="8"/>
      <c r="R30" s="6"/>
      <c r="T30" s="12"/>
      <c r="U30" s="28" t="s">
        <v>59</v>
      </c>
      <c r="V30" s="28" t="s">
        <v>60</v>
      </c>
      <c r="W30" s="28" t="s">
        <v>61</v>
      </c>
      <c r="X30" s="7" t="s">
        <v>177</v>
      </c>
      <c r="Y30" s="7"/>
      <c r="Z30" s="8"/>
      <c r="AA30" s="6"/>
      <c r="AB30" s="12" t="s">
        <v>159</v>
      </c>
      <c r="AC30" s="36">
        <f>AD103</f>
        <v>207320</v>
      </c>
      <c r="AD30" s="36">
        <f>AD104</f>
        <v>184514800</v>
      </c>
      <c r="AE30" s="7"/>
      <c r="AF30" s="7"/>
      <c r="AG30" s="7" t="s">
        <v>165</v>
      </c>
      <c r="AH30" s="15">
        <f>AD31/AH26</f>
        <v>2.2493452852786473</v>
      </c>
      <c r="AI30" s="8"/>
    </row>
    <row r="31" spans="1:35" x14ac:dyDescent="0.2">
      <c r="A31" s="6"/>
      <c r="B31" s="61"/>
      <c r="C31" t="s">
        <v>8</v>
      </c>
      <c r="D31" s="51" t="s">
        <v>16</v>
      </c>
      <c r="E31" s="49" t="s">
        <v>16</v>
      </c>
      <c r="F31" s="49" t="s">
        <v>16</v>
      </c>
      <c r="G31" s="51">
        <v>0</v>
      </c>
      <c r="I31" s="7"/>
      <c r="J31" s="7"/>
      <c r="K31" s="8"/>
      <c r="L31" s="7"/>
      <c r="M31" s="12" t="s">
        <v>33</v>
      </c>
      <c r="N31" s="12">
        <f>N32*N33</f>
        <v>1136</v>
      </c>
      <c r="O31" s="7"/>
      <c r="P31" s="7"/>
      <c r="Q31" s="8"/>
      <c r="R31" s="6"/>
      <c r="S31" s="33" t="s">
        <v>179</v>
      </c>
      <c r="T31" s="12" t="s">
        <v>62</v>
      </c>
      <c r="U31" s="7">
        <v>700</v>
      </c>
      <c r="V31" s="7">
        <v>1452</v>
      </c>
      <c r="W31" s="7">
        <f>U31*V31</f>
        <v>1016400</v>
      </c>
      <c r="X31" s="32" t="s">
        <v>178</v>
      </c>
      <c r="Y31" s="7"/>
      <c r="Z31" s="8"/>
      <c r="AA31" s="6"/>
      <c r="AB31" s="12" t="s">
        <v>160</v>
      </c>
      <c r="AC31" s="36">
        <f>SUM(AC25:AC30)</f>
        <v>891419.85008345917</v>
      </c>
      <c r="AD31" s="36">
        <f>SUM(AD25:AD30)</f>
        <v>509954463.33492452</v>
      </c>
      <c r="AE31" s="7"/>
      <c r="AF31" s="7"/>
      <c r="AG31" s="11" t="s">
        <v>235</v>
      </c>
      <c r="AH31" s="15">
        <f>(AD25+AD26+AD27+AD30)/AH26</f>
        <v>2.1327347228757705</v>
      </c>
      <c r="AI31" s="8"/>
    </row>
    <row r="32" spans="1:35" x14ac:dyDescent="0.2">
      <c r="A32" s="6"/>
      <c r="B32" s="61"/>
      <c r="C32" t="s">
        <v>277</v>
      </c>
      <c r="D32" s="51">
        <v>12000</v>
      </c>
      <c r="E32" s="54">
        <v>410</v>
      </c>
      <c r="F32" s="49">
        <f t="shared" si="0"/>
        <v>4920000</v>
      </c>
      <c r="G32" s="51">
        <v>1.4999999999999999E-2</v>
      </c>
      <c r="I32" s="7"/>
      <c r="J32" s="7"/>
      <c r="K32" s="8"/>
      <c r="L32" s="7"/>
      <c r="M32" s="7" t="s">
        <v>37</v>
      </c>
      <c r="N32" s="7">
        <v>284</v>
      </c>
      <c r="O32" s="7" t="s">
        <v>283</v>
      </c>
      <c r="P32" s="7"/>
      <c r="Q32" s="8"/>
      <c r="R32" s="6"/>
      <c r="S32" s="7"/>
      <c r="T32" s="12" t="s">
        <v>63</v>
      </c>
      <c r="U32" s="7">
        <v>700</v>
      </c>
      <c r="V32" s="7">
        <v>2151</v>
      </c>
      <c r="W32" s="7">
        <f>U32*V32</f>
        <v>1505700</v>
      </c>
      <c r="X32" s="32" t="s">
        <v>178</v>
      </c>
      <c r="Y32" s="7"/>
      <c r="Z32" s="8"/>
      <c r="AA32" s="6"/>
      <c r="AB32" s="7"/>
      <c r="AC32" s="7"/>
      <c r="AD32" s="7"/>
      <c r="AE32" s="7"/>
      <c r="AF32" s="7"/>
      <c r="AG32" s="11" t="s">
        <v>236</v>
      </c>
      <c r="AH32" s="15">
        <f>(SUM(AD25:AD26)+AD30)/AH26</f>
        <v>2.0728589414873642</v>
      </c>
      <c r="AI32" s="8"/>
    </row>
    <row r="33" spans="1:35" x14ac:dyDescent="0.2">
      <c r="A33" s="6"/>
      <c r="B33" s="61"/>
      <c r="C33" t="s">
        <v>278</v>
      </c>
      <c r="D33" s="49" t="s">
        <v>16</v>
      </c>
      <c r="E33" s="49" t="s">
        <v>16</v>
      </c>
      <c r="F33" s="49" t="s">
        <v>16</v>
      </c>
      <c r="G33" s="51">
        <v>3.5000000000000003E-2</v>
      </c>
      <c r="I33" s="7"/>
      <c r="J33" s="7"/>
      <c r="K33" s="8"/>
      <c r="L33" s="7"/>
      <c r="M33" s="7" t="s">
        <v>38</v>
      </c>
      <c r="N33" s="7">
        <v>4</v>
      </c>
      <c r="O33" s="7"/>
      <c r="P33" s="7"/>
      <c r="Q33" s="8"/>
      <c r="R33" s="6"/>
      <c r="S33" s="7"/>
      <c r="T33" s="12" t="s">
        <v>64</v>
      </c>
      <c r="U33" s="7"/>
      <c r="V33" s="7"/>
      <c r="W33" s="7">
        <v>373646.2</v>
      </c>
      <c r="X33" s="32" t="s">
        <v>178</v>
      </c>
      <c r="Y33" s="7"/>
      <c r="Z33" s="8"/>
      <c r="AA33" s="6"/>
      <c r="AB33" s="7"/>
      <c r="AC33" s="7"/>
      <c r="AD33" s="7"/>
      <c r="AE33" s="7"/>
      <c r="AF33" s="7"/>
      <c r="AG33" s="11" t="s">
        <v>237</v>
      </c>
      <c r="AH33" s="15">
        <f>(AD26+AD30)/AH26</f>
        <v>0.81387167930628923</v>
      </c>
      <c r="AI33" s="8"/>
    </row>
    <row r="34" spans="1:35" ht="16" customHeight="1" x14ac:dyDescent="0.2">
      <c r="A34" s="6"/>
      <c r="B34" s="63" t="s">
        <v>20</v>
      </c>
      <c r="C34" t="s">
        <v>10</v>
      </c>
      <c r="D34" s="51" t="s">
        <v>16</v>
      </c>
      <c r="E34" s="54">
        <v>2370</v>
      </c>
      <c r="F34" s="51" t="s">
        <v>16</v>
      </c>
      <c r="G34" s="51">
        <v>0.01</v>
      </c>
      <c r="H34" t="s">
        <v>19</v>
      </c>
      <c r="I34" s="7"/>
      <c r="J34" s="7"/>
      <c r="K34" s="8"/>
      <c r="L34" s="7"/>
      <c r="M34" s="12" t="s">
        <v>40</v>
      </c>
      <c r="N34" s="12">
        <f>3.39+2.16</f>
        <v>5.5500000000000007</v>
      </c>
      <c r="O34" s="7" t="s">
        <v>284</v>
      </c>
      <c r="P34" s="7"/>
      <c r="Q34" s="8"/>
      <c r="R34" s="6"/>
      <c r="S34" s="7"/>
      <c r="T34" s="12" t="s">
        <v>65</v>
      </c>
      <c r="U34" s="7">
        <f>N31*3</f>
        <v>3408</v>
      </c>
      <c r="V34" s="7">
        <v>1122</v>
      </c>
      <c r="W34" s="7">
        <f>U34*V34</f>
        <v>3823776</v>
      </c>
      <c r="X34" s="32" t="s">
        <v>178</v>
      </c>
      <c r="Y34" s="7"/>
      <c r="Z34" s="8"/>
      <c r="AA34" s="6"/>
      <c r="AB34" s="7"/>
      <c r="AC34" s="7"/>
      <c r="AD34" s="7"/>
      <c r="AE34" s="7"/>
      <c r="AF34" s="7"/>
      <c r="AG34" s="7"/>
      <c r="AH34" s="7"/>
      <c r="AI34" s="8"/>
    </row>
    <row r="35" spans="1:35" ht="16" customHeight="1" x14ac:dyDescent="0.2">
      <c r="A35" s="6"/>
      <c r="B35" s="63"/>
      <c r="C35" t="s">
        <v>11</v>
      </c>
      <c r="D35" s="51" t="s">
        <v>16</v>
      </c>
      <c r="E35" s="54">
        <v>1730</v>
      </c>
      <c r="F35" s="51" t="s">
        <v>16</v>
      </c>
      <c r="G35" s="51">
        <v>0.01</v>
      </c>
      <c r="H35" t="s">
        <v>19</v>
      </c>
      <c r="I35" s="7"/>
      <c r="J35" s="7"/>
      <c r="K35" s="8"/>
      <c r="L35" s="7"/>
      <c r="M35" s="7" t="s">
        <v>39</v>
      </c>
      <c r="N35" s="7">
        <f>N34/N31</f>
        <v>4.8855633802816906E-3</v>
      </c>
      <c r="O35" s="7"/>
      <c r="P35" s="7"/>
      <c r="Q35" s="8"/>
      <c r="R35" s="6"/>
      <c r="S35" s="7"/>
      <c r="T35" s="12" t="s">
        <v>121</v>
      </c>
      <c r="U35" s="7" t="s">
        <v>122</v>
      </c>
      <c r="V35" s="7">
        <v>890</v>
      </c>
      <c r="W35" s="7" t="s">
        <v>122</v>
      </c>
      <c r="X35" s="43" t="s">
        <v>113</v>
      </c>
      <c r="Y35" s="7"/>
      <c r="Z35" s="8"/>
      <c r="AA35" s="6"/>
      <c r="AB35" s="7"/>
      <c r="AC35" s="7"/>
      <c r="AD35" s="7"/>
      <c r="AE35" s="7"/>
      <c r="AF35" s="7"/>
      <c r="AG35" s="7"/>
      <c r="AH35" s="7"/>
      <c r="AI35" s="8"/>
    </row>
    <row r="36" spans="1:35" x14ac:dyDescent="0.2">
      <c r="A36" s="6"/>
      <c r="B36" s="63"/>
      <c r="C36" t="s">
        <v>12</v>
      </c>
      <c r="D36" s="51" t="s">
        <v>16</v>
      </c>
      <c r="E36" s="54">
        <v>1201</v>
      </c>
      <c r="F36" s="51" t="s">
        <v>16</v>
      </c>
      <c r="G36" s="51">
        <v>5.0000000000000001E-3</v>
      </c>
      <c r="I36" s="7"/>
      <c r="J36" s="7"/>
      <c r="K36" s="8"/>
      <c r="L36" s="7"/>
      <c r="M36" s="7"/>
      <c r="N36" s="7"/>
      <c r="O36" s="7"/>
      <c r="P36" s="7"/>
      <c r="Q36" s="8"/>
      <c r="R36" s="6"/>
      <c r="S36" s="7"/>
      <c r="T36" s="7"/>
      <c r="U36" s="7"/>
      <c r="V36" s="7"/>
      <c r="W36" s="7"/>
      <c r="X36" s="7"/>
      <c r="Y36" s="7"/>
      <c r="Z36" s="8"/>
      <c r="AA36" s="6"/>
      <c r="AB36" s="7"/>
      <c r="AC36" s="7"/>
      <c r="AD36" s="7"/>
      <c r="AE36" s="7"/>
      <c r="AF36" s="7"/>
      <c r="AG36" s="7"/>
      <c r="AH36" s="7"/>
      <c r="AI36" s="8"/>
    </row>
    <row r="37" spans="1:35" x14ac:dyDescent="0.2">
      <c r="A37" s="6"/>
      <c r="B37" s="63"/>
      <c r="C37" t="s">
        <v>13</v>
      </c>
      <c r="D37" s="51" t="s">
        <v>16</v>
      </c>
      <c r="E37" s="54">
        <v>1340</v>
      </c>
      <c r="F37" s="51" t="s">
        <v>16</v>
      </c>
      <c r="G37" s="51">
        <v>1E-3</v>
      </c>
      <c r="H37" t="s">
        <v>242</v>
      </c>
      <c r="I37" s="7"/>
      <c r="J37" s="7"/>
      <c r="K37" s="8"/>
      <c r="L37" s="7"/>
      <c r="M37" s="40" t="s">
        <v>239</v>
      </c>
      <c r="N37" s="12" t="s">
        <v>282</v>
      </c>
      <c r="O37" s="7"/>
      <c r="P37" s="7"/>
      <c r="Q37" s="8"/>
      <c r="R37" s="6"/>
      <c r="S37" s="7"/>
      <c r="T37" s="7"/>
      <c r="U37" s="7"/>
      <c r="V37" s="7"/>
      <c r="W37" s="7"/>
      <c r="X37" s="7"/>
      <c r="Y37" s="7"/>
      <c r="Z37" s="8"/>
      <c r="AB37" s="7"/>
      <c r="AC37" s="34"/>
      <c r="AD37" s="34"/>
      <c r="AF37" s="7"/>
      <c r="AG37" s="7"/>
      <c r="AH37" s="7"/>
      <c r="AI37" s="8"/>
    </row>
    <row r="38" spans="1:35" x14ac:dyDescent="0.2">
      <c r="A38" s="6"/>
      <c r="B38" s="63"/>
      <c r="C38" t="s">
        <v>268</v>
      </c>
      <c r="D38" s="51" t="s">
        <v>16</v>
      </c>
      <c r="E38" s="54">
        <v>1480</v>
      </c>
      <c r="F38" s="51" t="s">
        <v>16</v>
      </c>
      <c r="G38" s="51">
        <v>0</v>
      </c>
      <c r="I38" s="7"/>
      <c r="J38" s="7"/>
      <c r="K38" s="8"/>
      <c r="L38" s="7"/>
      <c r="M38" s="40" t="s">
        <v>240</v>
      </c>
      <c r="N38" s="12">
        <f>N31</f>
        <v>1136</v>
      </c>
      <c r="O38" s="7"/>
      <c r="P38" s="7"/>
      <c r="Q38" s="8"/>
      <c r="R38" s="6"/>
      <c r="S38" s="7"/>
      <c r="T38" s="7"/>
      <c r="U38" s="7"/>
      <c r="V38" s="7"/>
      <c r="W38" s="7"/>
      <c r="X38" s="7"/>
      <c r="Y38" s="7"/>
      <c r="Z38" s="8"/>
      <c r="AB38" s="7"/>
      <c r="AC38" s="34"/>
      <c r="AD38" s="34"/>
      <c r="AF38" s="7"/>
      <c r="AG38" s="7"/>
      <c r="AH38" s="7"/>
      <c r="AI38" s="8"/>
    </row>
    <row r="39" spans="1:35" ht="16" customHeight="1" x14ac:dyDescent="0.2">
      <c r="A39" s="6"/>
      <c r="B39" s="63"/>
      <c r="C39" t="s">
        <v>217</v>
      </c>
      <c r="D39" s="51" t="s">
        <v>16</v>
      </c>
      <c r="E39" s="54">
        <v>1600</v>
      </c>
      <c r="F39" s="51" t="s">
        <v>16</v>
      </c>
      <c r="G39" s="51">
        <v>1.4E-2</v>
      </c>
      <c r="I39" s="7"/>
      <c r="J39" s="7"/>
      <c r="K39" s="8"/>
      <c r="L39" s="23"/>
      <c r="M39" s="9"/>
      <c r="N39" s="9"/>
      <c r="O39" s="9"/>
      <c r="P39" s="9"/>
      <c r="Q39" s="10"/>
      <c r="R39" s="6"/>
      <c r="S39" s="7"/>
      <c r="T39" s="7"/>
      <c r="U39" s="7"/>
      <c r="V39" s="7"/>
      <c r="W39" s="7"/>
      <c r="X39" s="7"/>
      <c r="Y39" s="7"/>
      <c r="Z39" s="8"/>
      <c r="AA39" s="21" t="s">
        <v>186</v>
      </c>
      <c r="AB39" s="34">
        <v>480</v>
      </c>
      <c r="AC39" s="35" t="s">
        <v>225</v>
      </c>
      <c r="AD39" s="7"/>
      <c r="AE39" s="7"/>
      <c r="AF39" s="7"/>
      <c r="AG39" s="7"/>
      <c r="AH39" s="7"/>
      <c r="AI39" s="8"/>
    </row>
    <row r="40" spans="1:35" x14ac:dyDescent="0.2">
      <c r="A40" s="6"/>
      <c r="B40" s="63" t="s">
        <v>21</v>
      </c>
      <c r="C40" t="s">
        <v>14</v>
      </c>
      <c r="D40" s="51" t="s">
        <v>16</v>
      </c>
      <c r="E40" s="54">
        <v>2370</v>
      </c>
      <c r="F40" s="51" t="s">
        <v>16</v>
      </c>
      <c r="G40" s="51">
        <v>1.4999999999999999E-2</v>
      </c>
      <c r="I40" s="7"/>
      <c r="J40" s="7"/>
      <c r="K40" s="8"/>
      <c r="L40" s="7"/>
      <c r="M40" s="7"/>
      <c r="N40" s="7"/>
      <c r="O40" s="7"/>
      <c r="P40" s="7"/>
      <c r="Q40" s="8"/>
      <c r="R40" s="26"/>
      <c r="S40" s="4"/>
      <c r="T40" s="4"/>
      <c r="U40" s="4"/>
      <c r="V40" s="5"/>
      <c r="W40" s="4"/>
      <c r="X40" s="4"/>
      <c r="Y40" s="4"/>
      <c r="Z40" s="5"/>
      <c r="AA40" s="21" t="s">
        <v>223</v>
      </c>
      <c r="AB40" s="7">
        <v>241</v>
      </c>
      <c r="AC40" s="7" t="s">
        <v>224</v>
      </c>
      <c r="AD40" s="7"/>
      <c r="AE40" s="7"/>
      <c r="AF40" s="7"/>
      <c r="AG40" s="7"/>
      <c r="AH40" s="7"/>
      <c r="AI40" s="8"/>
    </row>
    <row r="41" spans="1:35" ht="19" x14ac:dyDescent="0.25">
      <c r="A41" s="6"/>
      <c r="B41" s="63"/>
      <c r="C41" t="s">
        <v>15</v>
      </c>
      <c r="D41" s="51" t="s">
        <v>16</v>
      </c>
      <c r="E41" s="54">
        <v>890</v>
      </c>
      <c r="F41" s="51" t="s">
        <v>16</v>
      </c>
      <c r="G41" s="51">
        <v>1.6E-2</v>
      </c>
      <c r="I41" s="7"/>
      <c r="J41" s="7"/>
      <c r="K41" s="8"/>
      <c r="L41" s="24" t="s">
        <v>180</v>
      </c>
      <c r="M41" s="7"/>
      <c r="N41" s="7"/>
      <c r="O41" s="7"/>
      <c r="P41" s="7"/>
      <c r="Q41" s="8"/>
      <c r="R41" s="37" t="s">
        <v>188</v>
      </c>
      <c r="S41" s="7"/>
      <c r="T41" s="7"/>
      <c r="U41" s="7"/>
      <c r="V41" s="8"/>
      <c r="Z41" s="8"/>
      <c r="AA41" s="6"/>
      <c r="AB41" s="7"/>
      <c r="AC41" s="7"/>
      <c r="AD41" s="7"/>
      <c r="AE41" s="7"/>
      <c r="AF41" s="7"/>
      <c r="AG41" s="7"/>
      <c r="AH41" s="7"/>
      <c r="AI41" s="8"/>
    </row>
    <row r="42" spans="1:35" x14ac:dyDescent="0.2">
      <c r="A42" s="6"/>
      <c r="B42" s="63"/>
      <c r="C42" t="s">
        <v>279</v>
      </c>
      <c r="D42" s="51" t="s">
        <v>16</v>
      </c>
      <c r="E42" s="54">
        <v>1201</v>
      </c>
      <c r="F42" s="51" t="s">
        <v>16</v>
      </c>
      <c r="G42" s="51">
        <v>3.2000000000000001E-2</v>
      </c>
      <c r="H42" t="s">
        <v>171</v>
      </c>
      <c r="I42" s="7"/>
      <c r="J42" s="7"/>
      <c r="K42" s="8"/>
      <c r="L42" s="7"/>
      <c r="M42" s="12" t="s">
        <v>86</v>
      </c>
      <c r="N42" s="12">
        <v>12.9</v>
      </c>
      <c r="O42" s="32" t="s">
        <v>181</v>
      </c>
      <c r="P42" s="7"/>
      <c r="Q42" s="8"/>
      <c r="R42" s="52"/>
      <c r="S42" s="52" t="s">
        <v>193</v>
      </c>
      <c r="T42" s="28" t="s">
        <v>194</v>
      </c>
      <c r="U42" s="7"/>
      <c r="V42" s="8"/>
      <c r="Z42" s="8"/>
      <c r="AA42" s="6"/>
      <c r="AB42" s="7"/>
      <c r="AC42" s="7"/>
      <c r="AD42" s="7"/>
      <c r="AE42" s="7"/>
      <c r="AF42" s="7"/>
      <c r="AG42" s="7"/>
      <c r="AH42" s="7"/>
      <c r="AI42" s="8"/>
    </row>
    <row r="43" spans="1:35" x14ac:dyDescent="0.2">
      <c r="A43" s="6"/>
      <c r="B43" s="63"/>
      <c r="C43" t="s">
        <v>280</v>
      </c>
      <c r="D43" s="51" t="s">
        <v>16</v>
      </c>
      <c r="E43" s="54">
        <v>830</v>
      </c>
      <c r="F43" s="51" t="s">
        <v>16</v>
      </c>
      <c r="G43" s="51">
        <v>0.06</v>
      </c>
      <c r="I43" s="7"/>
      <c r="J43" s="7"/>
      <c r="K43" s="8"/>
      <c r="L43" s="7"/>
      <c r="M43" s="12" t="s">
        <v>85</v>
      </c>
      <c r="N43" s="12">
        <v>1.29</v>
      </c>
      <c r="O43" s="7"/>
      <c r="P43" s="7"/>
      <c r="Q43" s="8"/>
      <c r="R43" s="38" t="s">
        <v>189</v>
      </c>
      <c r="S43" s="28" t="s">
        <v>190</v>
      </c>
      <c r="T43" s="28" t="s">
        <v>195</v>
      </c>
      <c r="U43" s="7"/>
      <c r="V43" s="8"/>
      <c r="Z43" s="8"/>
      <c r="AA43" s="6"/>
      <c r="AB43" s="7"/>
      <c r="AC43" s="7"/>
      <c r="AD43" s="7"/>
      <c r="AE43" s="7"/>
      <c r="AF43" s="7"/>
      <c r="AG43" s="7"/>
      <c r="AH43" s="7"/>
      <c r="AI43" s="8"/>
    </row>
    <row r="44" spans="1:35" x14ac:dyDescent="0.2">
      <c r="A44" s="6"/>
      <c r="F44" s="29" t="s">
        <v>208</v>
      </c>
      <c r="G44" s="42">
        <f>SUM(G25:G28)</f>
        <v>0.76200000000000001</v>
      </c>
      <c r="I44" s="7"/>
      <c r="J44" s="7"/>
      <c r="K44" s="8"/>
      <c r="L44" s="7"/>
      <c r="M44" s="12" t="s">
        <v>79</v>
      </c>
      <c r="N44" s="12">
        <v>20</v>
      </c>
      <c r="O44" s="7"/>
      <c r="P44" s="7"/>
      <c r="Q44" s="8"/>
      <c r="R44" s="38" t="s">
        <v>191</v>
      </c>
      <c r="S44" s="28" t="s">
        <v>192</v>
      </c>
      <c r="T44" s="28" t="s">
        <v>196</v>
      </c>
      <c r="U44" s="7"/>
      <c r="V44" s="8"/>
      <c r="Z44" s="8"/>
      <c r="AA44" s="6"/>
      <c r="AB44" s="7"/>
      <c r="AC44" s="7"/>
      <c r="AD44" s="7"/>
      <c r="AE44" s="7"/>
      <c r="AF44" s="7"/>
      <c r="AG44" s="7"/>
      <c r="AH44" s="7"/>
      <c r="AI44" s="8"/>
    </row>
    <row r="45" spans="1:35" x14ac:dyDescent="0.2">
      <c r="A45" s="23"/>
      <c r="B45" s="9"/>
      <c r="C45" s="9"/>
      <c r="D45" s="9"/>
      <c r="E45" s="9"/>
      <c r="F45" s="9"/>
      <c r="G45" s="9"/>
      <c r="H45" s="9"/>
      <c r="I45" s="9"/>
      <c r="J45" s="9"/>
      <c r="K45" s="10"/>
      <c r="L45" s="9"/>
      <c r="M45" s="9"/>
      <c r="N45" s="9"/>
      <c r="O45" s="9"/>
      <c r="P45" s="9"/>
      <c r="Q45" s="10"/>
      <c r="R45" s="23"/>
      <c r="S45" s="9"/>
      <c r="T45" s="9"/>
      <c r="U45" s="9"/>
      <c r="V45" s="10"/>
      <c r="W45" s="9"/>
      <c r="X45" s="9"/>
      <c r="Y45" s="9"/>
      <c r="Z45" s="10"/>
      <c r="AA45" s="23"/>
      <c r="AB45" s="9"/>
      <c r="AC45" s="9"/>
      <c r="AD45" s="9"/>
      <c r="AE45" s="9"/>
      <c r="AF45" s="9"/>
      <c r="AG45" s="9"/>
      <c r="AH45" s="9"/>
      <c r="AI45" s="10"/>
    </row>
    <row r="46" spans="1:35" x14ac:dyDescent="0.2">
      <c r="K46" s="5"/>
      <c r="Q46" s="5"/>
      <c r="V46" s="5"/>
      <c r="Z46" s="5"/>
      <c r="AA46" s="26"/>
      <c r="AB46" s="4"/>
      <c r="AC46" s="4"/>
      <c r="AD46" s="4"/>
      <c r="AE46" s="4"/>
      <c r="AF46" s="4"/>
      <c r="AG46" s="4"/>
      <c r="AH46" s="4"/>
      <c r="AI46" s="5"/>
    </row>
    <row r="47" spans="1:35" ht="19" x14ac:dyDescent="0.25">
      <c r="A47" s="1" t="s">
        <v>173</v>
      </c>
      <c r="K47" s="8"/>
      <c r="L47" s="1" t="s">
        <v>175</v>
      </c>
      <c r="Q47" s="8"/>
      <c r="R47" s="1" t="s">
        <v>182</v>
      </c>
      <c r="T47" s="29" t="s">
        <v>197</v>
      </c>
      <c r="U47" s="3">
        <f>SUM(T58,T70,T82)</f>
        <v>85.199999999999989</v>
      </c>
      <c r="V47" s="8"/>
      <c r="W47" s="1" t="s">
        <v>75</v>
      </c>
      <c r="Z47" s="8"/>
      <c r="AA47" s="44" t="s">
        <v>185</v>
      </c>
      <c r="AB47" s="7"/>
      <c r="AC47" s="7"/>
      <c r="AD47" s="7"/>
      <c r="AE47" s="7"/>
      <c r="AF47" s="7"/>
      <c r="AG47" s="7"/>
      <c r="AH47" s="7"/>
      <c r="AI47" s="8"/>
    </row>
    <row r="48" spans="1:35" x14ac:dyDescent="0.2">
      <c r="B48" s="3" t="s">
        <v>5</v>
      </c>
      <c r="D48" s="29" t="s">
        <v>174</v>
      </c>
      <c r="E48" s="3">
        <f>SUM(D54,G50)</f>
        <v>97.017834415944108</v>
      </c>
      <c r="K48" s="8"/>
      <c r="L48" s="29" t="s">
        <v>66</v>
      </c>
      <c r="Q48" s="8"/>
      <c r="R48" s="3" t="s">
        <v>78</v>
      </c>
      <c r="V48" s="8"/>
      <c r="X48" t="s">
        <v>219</v>
      </c>
      <c r="Y48">
        <f>(100000/19422.03)*100</f>
        <v>514.87923764920561</v>
      </c>
      <c r="Z48" s="8" t="s">
        <v>287</v>
      </c>
      <c r="AA48" s="6"/>
      <c r="AB48" s="7"/>
      <c r="AC48" s="7"/>
      <c r="AD48" s="7"/>
      <c r="AE48" s="7"/>
      <c r="AF48" s="7"/>
      <c r="AG48" s="7"/>
      <c r="AH48" s="7"/>
      <c r="AI48" s="8"/>
    </row>
    <row r="49" spans="1:35" x14ac:dyDescent="0.2">
      <c r="C49" t="s">
        <v>22</v>
      </c>
      <c r="D49">
        <f>N25*G25</f>
        <v>260931.20000000001</v>
      </c>
      <c r="F49" t="s">
        <v>206</v>
      </c>
      <c r="G49">
        <v>0.3</v>
      </c>
      <c r="K49" s="8"/>
      <c r="M49" t="s">
        <v>67</v>
      </c>
      <c r="N49">
        <f>N25*G34</f>
        <v>8154.1</v>
      </c>
      <c r="Q49" s="8"/>
      <c r="V49" s="8"/>
      <c r="X49" t="s">
        <v>76</v>
      </c>
      <c r="Y49">
        <f>Y48/100/100</f>
        <v>5.1487923764920562E-2</v>
      </c>
      <c r="Z49" s="8"/>
      <c r="AA49" s="6"/>
      <c r="AB49" s="12" t="s">
        <v>5</v>
      </c>
      <c r="AC49" s="7"/>
      <c r="AD49" s="7"/>
      <c r="AE49" s="7"/>
      <c r="AF49" s="7"/>
      <c r="AG49" s="7"/>
      <c r="AH49" s="7"/>
      <c r="AI49" s="8"/>
    </row>
    <row r="50" spans="1:35" x14ac:dyDescent="0.2">
      <c r="C50" t="s">
        <v>23</v>
      </c>
      <c r="D50">
        <v>0.02</v>
      </c>
      <c r="E50" s="16" t="s">
        <v>41</v>
      </c>
      <c r="F50" t="s">
        <v>207</v>
      </c>
      <c r="G50" s="18">
        <f>G49*D54</f>
        <v>22.388731019064025</v>
      </c>
      <c r="K50" s="8"/>
      <c r="M50" t="s">
        <v>48</v>
      </c>
      <c r="N50">
        <f>N49/E34</f>
        <v>3.4405485232067514</v>
      </c>
      <c r="Q50" s="8"/>
      <c r="S50" t="s">
        <v>204</v>
      </c>
      <c r="T50">
        <v>8</v>
      </c>
      <c r="U50" t="s">
        <v>286</v>
      </c>
      <c r="V50" s="8"/>
      <c r="X50" t="s">
        <v>77</v>
      </c>
      <c r="Y50">
        <f>1/Y49</f>
        <v>19.422029999999999</v>
      </c>
      <c r="Z50" s="8"/>
      <c r="AA50" s="6"/>
      <c r="AB50" s="7"/>
      <c r="AC50" s="7" t="s">
        <v>119</v>
      </c>
      <c r="AD50" s="13">
        <f>650*10000</f>
        <v>6500000</v>
      </c>
      <c r="AE50" s="7"/>
      <c r="AF50" s="7"/>
      <c r="AG50" s="7"/>
      <c r="AH50" s="7"/>
      <c r="AI50" s="8"/>
    </row>
    <row r="51" spans="1:35" x14ac:dyDescent="0.2">
      <c r="C51" t="s">
        <v>24</v>
      </c>
      <c r="D51">
        <v>0.3</v>
      </c>
      <c r="K51" s="8"/>
      <c r="M51" t="s">
        <v>68</v>
      </c>
      <c r="N51">
        <f>N50/X25/T24</f>
        <v>0.34439925157224738</v>
      </c>
      <c r="Q51" s="8"/>
      <c r="S51" t="s">
        <v>205</v>
      </c>
      <c r="T51">
        <f>T50*1000</f>
        <v>8000</v>
      </c>
      <c r="U51" t="s">
        <v>178</v>
      </c>
      <c r="V51" s="8"/>
      <c r="X51" t="s">
        <v>221</v>
      </c>
      <c r="Y51">
        <f>SUM(G40:G42)</f>
        <v>6.3E-2</v>
      </c>
      <c r="Z51" s="8"/>
      <c r="AA51" s="6"/>
      <c r="AB51" s="7"/>
      <c r="AC51" s="7" t="s">
        <v>111</v>
      </c>
      <c r="AD51">
        <v>0.79600000000000004</v>
      </c>
      <c r="AE51" s="7" t="s">
        <v>178</v>
      </c>
      <c r="AF51" s="7"/>
      <c r="AG51" s="7"/>
      <c r="AH51" s="7"/>
      <c r="AI51" s="8"/>
    </row>
    <row r="52" spans="1:35" x14ac:dyDescent="0.2">
      <c r="C52" t="s">
        <v>25</v>
      </c>
      <c r="D52" s="18">
        <f>F25*(1-(SUM(D50:D51)))</f>
        <v>3971879.9999999995</v>
      </c>
      <c r="K52" s="8"/>
      <c r="M52" t="s">
        <v>69</v>
      </c>
      <c r="N52">
        <f>(70*(N51*T24)^0.75)*365</f>
        <v>199570.77280099536</v>
      </c>
      <c r="Q52" s="8"/>
      <c r="S52" t="s">
        <v>203</v>
      </c>
      <c r="T52">
        <f>T51/N44</f>
        <v>400</v>
      </c>
      <c r="V52" s="8"/>
      <c r="X52" s="3" t="s">
        <v>220</v>
      </c>
      <c r="Y52" s="3">
        <f>Y51*Y50*N38</f>
        <v>1389.99584304</v>
      </c>
      <c r="Z52" s="8"/>
      <c r="AA52" s="6"/>
      <c r="AB52" s="7"/>
      <c r="AC52" s="7" t="s">
        <v>112</v>
      </c>
      <c r="AD52">
        <v>0.1</v>
      </c>
      <c r="AE52" s="7" t="s">
        <v>113</v>
      </c>
      <c r="AF52" s="7"/>
      <c r="AG52" s="7"/>
      <c r="AH52" s="7"/>
      <c r="AI52" s="8"/>
    </row>
    <row r="53" spans="1:35" x14ac:dyDescent="0.2">
      <c r="C53" t="s">
        <v>26</v>
      </c>
      <c r="D53" s="18">
        <f>D49/D52</f>
        <v>6.5694633271901476E-2</v>
      </c>
      <c r="K53" s="8"/>
      <c r="M53" t="s">
        <v>124</v>
      </c>
      <c r="N53">
        <v>0.9</v>
      </c>
      <c r="O53" s="60">
        <f>SUM(N53:N54)</f>
        <v>1</v>
      </c>
      <c r="Q53" s="8"/>
      <c r="S53" t="s">
        <v>202</v>
      </c>
      <c r="T53">
        <v>551</v>
      </c>
      <c r="V53" s="8"/>
      <c r="Z53" s="8"/>
      <c r="AA53" s="6"/>
      <c r="AB53" s="7"/>
      <c r="AC53" s="7" t="s">
        <v>198</v>
      </c>
      <c r="AD53">
        <f>(AD50)*AD51*(1-AD52)/0.45</f>
        <v>10348000</v>
      </c>
      <c r="AE53" s="7" t="s">
        <v>199</v>
      </c>
      <c r="AF53" s="7"/>
      <c r="AG53" s="7"/>
      <c r="AH53" s="7"/>
      <c r="AI53" s="8"/>
    </row>
    <row r="54" spans="1:35" x14ac:dyDescent="0.2">
      <c r="C54" t="s">
        <v>27</v>
      </c>
      <c r="D54" s="18">
        <f>D53*N38</f>
        <v>74.629103396880083</v>
      </c>
      <c r="K54" s="8"/>
      <c r="M54" t="s">
        <v>70</v>
      </c>
      <c r="N54">
        <v>0.1</v>
      </c>
      <c r="O54" s="60"/>
      <c r="Q54" s="8"/>
      <c r="S54" t="s">
        <v>80</v>
      </c>
      <c r="T54">
        <f>T53*N44/1000</f>
        <v>11.02</v>
      </c>
      <c r="V54" s="8"/>
      <c r="W54" s="23"/>
      <c r="X54" s="9"/>
      <c r="Y54" s="9"/>
      <c r="Z54" s="10"/>
      <c r="AA54" s="6"/>
      <c r="AB54" s="7"/>
      <c r="AC54" s="7" t="s">
        <v>114</v>
      </c>
      <c r="AD54">
        <v>0.23</v>
      </c>
      <c r="AE54" s="7"/>
      <c r="AF54" s="7"/>
      <c r="AG54" s="7"/>
      <c r="AH54" s="7"/>
      <c r="AI54" s="8"/>
    </row>
    <row r="55" spans="1:35" x14ac:dyDescent="0.2">
      <c r="A55" s="9"/>
      <c r="B55" s="9"/>
      <c r="C55" s="9"/>
      <c r="D55" s="9"/>
      <c r="E55" s="9"/>
      <c r="F55" s="9"/>
      <c r="G55" s="9"/>
      <c r="H55" s="9"/>
      <c r="I55" s="9"/>
      <c r="J55" s="9"/>
      <c r="K55" s="10"/>
      <c r="Q55" s="8"/>
      <c r="S55" t="s">
        <v>81</v>
      </c>
      <c r="T55">
        <f>AVERAGE(T52,T53)</f>
        <v>475.5</v>
      </c>
      <c r="V55" s="8"/>
      <c r="Z55" s="8"/>
      <c r="AA55" s="6"/>
      <c r="AB55" s="7"/>
      <c r="AC55" s="7" t="s">
        <v>200</v>
      </c>
      <c r="AD55" s="17">
        <f>AD53*(1-AD54)*(D53)</f>
        <v>523452.21012518008</v>
      </c>
      <c r="AE55" s="7"/>
      <c r="AF55" s="7"/>
      <c r="AG55" s="7"/>
      <c r="AH55" s="7"/>
      <c r="AI55" s="8"/>
    </row>
    <row r="56" spans="1:35" x14ac:dyDescent="0.2">
      <c r="K56" s="8"/>
      <c r="M56" t="s">
        <v>71</v>
      </c>
      <c r="N56">
        <f>(N54*N52)/W33</f>
        <v>5.341169609138146E-2</v>
      </c>
      <c r="Q56" s="8"/>
      <c r="S56" t="s">
        <v>82</v>
      </c>
      <c r="T56">
        <f>T55*N38</f>
        <v>540168</v>
      </c>
      <c r="V56" s="8"/>
      <c r="Z56" s="8"/>
      <c r="AA56" s="6"/>
      <c r="AB56" s="7"/>
      <c r="AC56" s="7" t="s">
        <v>201</v>
      </c>
      <c r="AD56">
        <f>AD55*N31</f>
        <v>594641710.70220459</v>
      </c>
      <c r="AE56" s="7"/>
      <c r="AF56" s="7"/>
      <c r="AG56" s="7"/>
      <c r="AH56" s="7"/>
      <c r="AI56" s="8"/>
    </row>
    <row r="57" spans="1:35" ht="19" x14ac:dyDescent="0.25">
      <c r="B57" s="3" t="s">
        <v>107</v>
      </c>
      <c r="D57" s="3" t="s">
        <v>43</v>
      </c>
      <c r="E57" s="53">
        <f>D64+(D72-G69)+(D80-G77)+G64+(D88+G83)</f>
        <v>90.057504444444461</v>
      </c>
      <c r="K57" s="8"/>
      <c r="M57" t="s">
        <v>72</v>
      </c>
      <c r="N57">
        <f>SUM(N55:N56)</f>
        <v>5.341169609138146E-2</v>
      </c>
      <c r="Q57" s="8"/>
      <c r="S57" t="s">
        <v>83</v>
      </c>
      <c r="T57">
        <f>T56/N43</f>
        <v>418734.8837209302</v>
      </c>
      <c r="V57" s="8"/>
      <c r="W57" s="27"/>
      <c r="Z57" s="8"/>
      <c r="AA57" s="6"/>
      <c r="AB57" s="7"/>
      <c r="AC57" s="7"/>
      <c r="AD57" s="7"/>
      <c r="AE57" s="7"/>
      <c r="AF57" s="7"/>
      <c r="AG57" s="7"/>
      <c r="AH57" s="7"/>
      <c r="AI57" s="8"/>
    </row>
    <row r="58" spans="1:35" x14ac:dyDescent="0.2">
      <c r="C58" s="3" t="s">
        <v>318</v>
      </c>
      <c r="K58" s="8"/>
      <c r="M58" s="3" t="s">
        <v>73</v>
      </c>
      <c r="N58" s="3">
        <f>N57*N31</f>
        <v>60.675686759809338</v>
      </c>
      <c r="Q58" s="8"/>
      <c r="S58" t="s">
        <v>84</v>
      </c>
      <c r="T58">
        <f>T57/10000</f>
        <v>41.873488372093021</v>
      </c>
      <c r="V58" s="8"/>
      <c r="X58" s="7"/>
      <c r="Y58" s="7"/>
      <c r="Z58" s="8"/>
      <c r="AA58" s="6"/>
      <c r="AB58" s="12" t="s">
        <v>116</v>
      </c>
      <c r="AC58" s="7"/>
      <c r="AD58" s="7"/>
      <c r="AE58" s="7"/>
      <c r="AF58" s="7"/>
      <c r="AG58" s="7"/>
      <c r="AH58" s="7"/>
      <c r="AI58" s="8"/>
    </row>
    <row r="59" spans="1:35" x14ac:dyDescent="0.2">
      <c r="C59" t="s">
        <v>22</v>
      </c>
      <c r="D59">
        <f>G28*N25</f>
        <v>0</v>
      </c>
      <c r="F59" t="s">
        <v>210</v>
      </c>
      <c r="K59" s="8"/>
      <c r="M59" s="3" t="s">
        <v>74</v>
      </c>
      <c r="N59" s="3">
        <f>N51*N31</f>
        <v>391.23754978607303</v>
      </c>
      <c r="Q59" s="8"/>
      <c r="V59" s="8"/>
      <c r="X59" s="39"/>
      <c r="Y59" s="7"/>
      <c r="Z59" s="8"/>
      <c r="AA59" s="6"/>
      <c r="AB59" s="7"/>
      <c r="AC59" s="7" t="s">
        <v>110</v>
      </c>
      <c r="AD59" s="13">
        <f>650*10000</f>
        <v>6500000</v>
      </c>
      <c r="AE59" s="7"/>
      <c r="AF59" s="7"/>
      <c r="AH59" s="7"/>
      <c r="AI59" s="8"/>
    </row>
    <row r="60" spans="1:35" x14ac:dyDescent="0.2">
      <c r="C60" t="s">
        <v>23</v>
      </c>
      <c r="D60">
        <v>0.1</v>
      </c>
      <c r="F60" t="s">
        <v>42</v>
      </c>
      <c r="G60">
        <v>0.1</v>
      </c>
      <c r="K60" s="8"/>
      <c r="M60" s="3" t="s">
        <v>123</v>
      </c>
      <c r="N60" s="3">
        <f>N59*(N52/N51)</f>
        <v>226712397.90193072</v>
      </c>
      <c r="Q60" s="8"/>
      <c r="V60" s="8"/>
      <c r="W60" s="7"/>
      <c r="X60" s="7"/>
      <c r="Y60" s="7"/>
      <c r="Z60" s="8"/>
      <c r="AA60" s="6"/>
      <c r="AB60" s="7"/>
      <c r="AC60" s="7" t="s">
        <v>111</v>
      </c>
      <c r="AD60" s="7">
        <v>0.6</v>
      </c>
      <c r="AE60" t="s">
        <v>231</v>
      </c>
      <c r="AF60" s="7"/>
      <c r="AG60" s="7"/>
      <c r="AH60" s="7"/>
      <c r="AI60" s="8"/>
    </row>
    <row r="61" spans="1:35" x14ac:dyDescent="0.2">
      <c r="C61" t="s">
        <v>24</v>
      </c>
      <c r="D61">
        <v>0.3</v>
      </c>
      <c r="F61" t="s">
        <v>6</v>
      </c>
      <c r="G61">
        <v>0</v>
      </c>
      <c r="K61" s="8"/>
      <c r="Q61" s="8"/>
      <c r="R61" s="3" t="s">
        <v>94</v>
      </c>
      <c r="V61" s="8"/>
      <c r="X61" s="55"/>
      <c r="Y61" s="45"/>
      <c r="Z61" s="8"/>
      <c r="AA61" s="6"/>
      <c r="AB61" s="7"/>
      <c r="AC61" s="7" t="s">
        <v>112</v>
      </c>
      <c r="AD61" s="7">
        <v>0.1</v>
      </c>
      <c r="AF61" s="7"/>
      <c r="AG61" s="7"/>
      <c r="AH61" s="7"/>
      <c r="AI61" s="8"/>
    </row>
    <row r="62" spans="1:35" x14ac:dyDescent="0.2">
      <c r="C62" t="s">
        <v>25</v>
      </c>
      <c r="D62" s="18">
        <f>F28*(1-(D60+D61))</f>
        <v>2850000</v>
      </c>
      <c r="F62" t="s">
        <v>247</v>
      </c>
      <c r="G62">
        <v>0</v>
      </c>
      <c r="K62" s="8"/>
      <c r="Q62" s="8"/>
      <c r="S62" t="s">
        <v>95</v>
      </c>
      <c r="T62">
        <v>30</v>
      </c>
      <c r="U62" s="16" t="s">
        <v>178</v>
      </c>
      <c r="V62" s="8"/>
      <c r="X62" s="40"/>
      <c r="Y62" s="3"/>
      <c r="Z62" s="8"/>
      <c r="AA62" s="6"/>
      <c r="AB62" s="7"/>
      <c r="AC62" s="7" t="s">
        <v>118</v>
      </c>
      <c r="AD62">
        <f>(AD59)*AD60*(1-AD61)/0.45</f>
        <v>7800000</v>
      </c>
      <c r="AF62" s="7"/>
      <c r="AG62" s="7"/>
      <c r="AH62" s="7"/>
      <c r="AI62" s="8"/>
    </row>
    <row r="63" spans="1:35" x14ac:dyDescent="0.2">
      <c r="C63" t="s">
        <v>26</v>
      </c>
      <c r="D63" s="18">
        <f>D59/D62</f>
        <v>0</v>
      </c>
      <c r="F63" t="s">
        <v>281</v>
      </c>
      <c r="G63">
        <v>0.1</v>
      </c>
      <c r="K63" s="8"/>
      <c r="Q63" s="8"/>
      <c r="S63" t="s">
        <v>96</v>
      </c>
      <c r="T63">
        <v>1.5</v>
      </c>
      <c r="U63" s="45" t="s">
        <v>250</v>
      </c>
      <c r="V63" s="8"/>
      <c r="X63" s="11"/>
      <c r="Z63" s="8"/>
      <c r="AA63" s="6"/>
      <c r="AB63" s="7"/>
      <c r="AC63" s="7" t="s">
        <v>114</v>
      </c>
      <c r="AD63" s="7">
        <v>0.5</v>
      </c>
      <c r="AE63" t="s">
        <v>232</v>
      </c>
      <c r="AF63" s="7"/>
      <c r="AG63" s="7"/>
      <c r="AH63" s="7"/>
      <c r="AI63" s="8"/>
    </row>
    <row r="64" spans="1:35" x14ac:dyDescent="0.2">
      <c r="C64" t="s">
        <v>27</v>
      </c>
      <c r="D64" s="18">
        <f>D63*N38</f>
        <v>0</v>
      </c>
      <c r="F64" t="s">
        <v>207</v>
      </c>
      <c r="G64" s="18">
        <f>G60*D64</f>
        <v>0</v>
      </c>
      <c r="K64" s="8"/>
      <c r="L64" s="29" t="s">
        <v>176</v>
      </c>
      <c r="Q64" s="8"/>
      <c r="S64" t="s">
        <v>97</v>
      </c>
      <c r="T64">
        <f>T63*T62</f>
        <v>45</v>
      </c>
      <c r="U64" s="16"/>
      <c r="V64" s="8"/>
      <c r="Z64" s="8"/>
      <c r="AA64" s="6"/>
      <c r="AB64" s="7"/>
      <c r="AC64" s="7" t="s">
        <v>115</v>
      </c>
      <c r="AD64" s="17">
        <f>AD62*(1-AD63)*D63</f>
        <v>0</v>
      </c>
      <c r="AE64" s="7"/>
      <c r="AF64" s="7"/>
      <c r="AG64" s="7"/>
      <c r="AH64" s="7"/>
      <c r="AI64" s="8"/>
    </row>
    <row r="65" spans="3:35" x14ac:dyDescent="0.2">
      <c r="K65" s="8"/>
      <c r="L65" s="30"/>
      <c r="M65" t="s">
        <v>51</v>
      </c>
      <c r="N65">
        <f>N25*G37</f>
        <v>815.41</v>
      </c>
      <c r="Q65" s="8"/>
      <c r="S65" t="s">
        <v>98</v>
      </c>
      <c r="T65">
        <v>2</v>
      </c>
      <c r="U65" s="16" t="s">
        <v>178</v>
      </c>
      <c r="V65" s="8"/>
      <c r="Z65" s="8"/>
      <c r="AA65" s="6"/>
      <c r="AB65" s="7"/>
      <c r="AC65" s="7" t="s">
        <v>117</v>
      </c>
      <c r="AD65" s="7">
        <f>AD64*N31</f>
        <v>0</v>
      </c>
      <c r="AE65" s="7"/>
      <c r="AF65" s="7"/>
      <c r="AG65" s="7"/>
      <c r="AH65" s="7"/>
      <c r="AI65" s="8"/>
    </row>
    <row r="66" spans="3:35" x14ac:dyDescent="0.2">
      <c r="C66" s="3" t="s">
        <v>312</v>
      </c>
      <c r="K66" s="8"/>
      <c r="M66" t="s">
        <v>48</v>
      </c>
      <c r="N66">
        <f>N65/E37</f>
        <v>0.60851492537313434</v>
      </c>
      <c r="Q66" s="8"/>
      <c r="S66" t="s">
        <v>89</v>
      </c>
      <c r="T66">
        <v>4</v>
      </c>
      <c r="V66" s="8"/>
      <c r="Z66" s="8"/>
      <c r="AA66" s="6"/>
      <c r="AB66" s="7"/>
      <c r="AC66" s="7"/>
      <c r="AD66" s="7"/>
      <c r="AE66" s="7"/>
      <c r="AF66" s="7"/>
      <c r="AG66" s="7"/>
      <c r="AH66" s="7"/>
      <c r="AI66" s="8"/>
    </row>
    <row r="67" spans="3:35" x14ac:dyDescent="0.2">
      <c r="C67" t="s">
        <v>22</v>
      </c>
      <c r="D67">
        <f>G27*N25</f>
        <v>17939.02</v>
      </c>
      <c r="F67" s="59" t="s">
        <v>245</v>
      </c>
      <c r="G67" s="62">
        <v>1</v>
      </c>
      <c r="K67" s="8"/>
      <c r="M67" t="s">
        <v>54</v>
      </c>
      <c r="N67">
        <f>N66/X24/T25</f>
        <v>1.8962995031821347E-2</v>
      </c>
      <c r="Q67" s="8"/>
      <c r="S67" t="s">
        <v>99</v>
      </c>
      <c r="T67">
        <f>T66*T65*T64</f>
        <v>360</v>
      </c>
      <c r="V67" s="8"/>
      <c r="Z67" s="8"/>
      <c r="AA67" s="6"/>
      <c r="AB67" s="12" t="s">
        <v>120</v>
      </c>
      <c r="AC67" s="7"/>
      <c r="AD67" s="7"/>
      <c r="AE67" s="7"/>
      <c r="AF67" s="7"/>
      <c r="AG67" s="7"/>
      <c r="AH67" s="7"/>
      <c r="AI67" s="8"/>
    </row>
    <row r="68" spans="3:35" x14ac:dyDescent="0.2">
      <c r="C68" t="s">
        <v>23</v>
      </c>
      <c r="D68">
        <v>0.1</v>
      </c>
      <c r="F68" s="59"/>
      <c r="G68" s="62"/>
      <c r="K68" s="8"/>
      <c r="M68" t="s">
        <v>55</v>
      </c>
      <c r="N68">
        <f>(70*(N67*T25)^0.75)*365</f>
        <v>124576.45546570697</v>
      </c>
      <c r="Q68" s="8"/>
      <c r="S68" t="s">
        <v>100</v>
      </c>
      <c r="T68">
        <f>T67*N44/1000</f>
        <v>7.2</v>
      </c>
      <c r="V68" s="8"/>
      <c r="Z68" s="8"/>
      <c r="AA68" s="6"/>
      <c r="AB68" s="7"/>
      <c r="AC68" s="7" t="s">
        <v>110</v>
      </c>
      <c r="AD68" s="13">
        <f>650*10000</f>
        <v>6500000</v>
      </c>
      <c r="AE68" s="7"/>
      <c r="AF68" s="7"/>
      <c r="AG68" s="7" t="s">
        <v>222</v>
      </c>
      <c r="AH68" s="7"/>
      <c r="AI68" s="8"/>
    </row>
    <row r="69" spans="3:35" x14ac:dyDescent="0.2">
      <c r="C69" t="s">
        <v>24</v>
      </c>
      <c r="D69">
        <v>0.3</v>
      </c>
      <c r="F69" s="3" t="s">
        <v>246</v>
      </c>
      <c r="G69" s="3">
        <f>G67*D72</f>
        <v>15.299344384384385</v>
      </c>
      <c r="K69" s="8"/>
      <c r="M69" t="s">
        <v>258</v>
      </c>
      <c r="N69">
        <v>0.6</v>
      </c>
      <c r="O69" s="60">
        <f>SUM(N69:N71)</f>
        <v>1</v>
      </c>
      <c r="P69" t="s">
        <v>241</v>
      </c>
      <c r="Q69" s="8"/>
      <c r="S69" t="s">
        <v>101</v>
      </c>
      <c r="T69">
        <f>T67*N38</f>
        <v>408960</v>
      </c>
      <c r="V69" s="8"/>
      <c r="Z69" s="8"/>
      <c r="AA69" s="6"/>
      <c r="AB69" s="7"/>
      <c r="AC69" s="7" t="s">
        <v>111</v>
      </c>
      <c r="AD69" s="7">
        <v>0.59</v>
      </c>
      <c r="AE69" s="7" t="s">
        <v>226</v>
      </c>
      <c r="AF69" s="7"/>
      <c r="AG69" s="7"/>
      <c r="AH69" s="7"/>
      <c r="AI69" s="8"/>
    </row>
    <row r="70" spans="3:35" x14ac:dyDescent="0.2">
      <c r="C70" t="s">
        <v>25</v>
      </c>
      <c r="D70" s="18">
        <f>F27*(1-SUM(D68:D69))</f>
        <v>1332000</v>
      </c>
      <c r="K70" s="8"/>
      <c r="M70" t="s">
        <v>259</v>
      </c>
      <c r="N70">
        <v>0.1</v>
      </c>
      <c r="O70" s="60"/>
      <c r="Q70" s="8"/>
      <c r="S70" t="s">
        <v>102</v>
      </c>
      <c r="T70">
        <v>0</v>
      </c>
      <c r="U70" t="s">
        <v>209</v>
      </c>
      <c r="V70" s="8"/>
      <c r="Z70" s="8"/>
      <c r="AA70" s="6"/>
      <c r="AB70" s="7"/>
      <c r="AC70" s="7" t="s">
        <v>112</v>
      </c>
      <c r="AD70" s="7">
        <v>0.1</v>
      </c>
      <c r="AE70" s="7"/>
      <c r="AF70" s="7"/>
      <c r="AG70" s="7"/>
      <c r="AH70" s="7"/>
      <c r="AI70" s="8"/>
    </row>
    <row r="71" spans="3:35" x14ac:dyDescent="0.2">
      <c r="C71" t="s">
        <v>26</v>
      </c>
      <c r="D71" s="18">
        <f>D67/D70</f>
        <v>1.3467732732732733E-2</v>
      </c>
      <c r="K71" s="8"/>
      <c r="M71" t="s">
        <v>260</v>
      </c>
      <c r="N71">
        <v>0.3</v>
      </c>
      <c r="O71" s="60"/>
      <c r="Q71" s="8"/>
      <c r="V71" s="8"/>
      <c r="Z71" s="8"/>
      <c r="AA71" s="6"/>
      <c r="AB71" s="7"/>
      <c r="AC71" s="7" t="s">
        <v>118</v>
      </c>
      <c r="AD71">
        <f>(AD68)*AD69*(1-AD70)/0.45</f>
        <v>7670000</v>
      </c>
      <c r="AE71" s="7"/>
      <c r="AF71" s="7"/>
      <c r="AG71" s="7"/>
      <c r="AH71" s="7"/>
      <c r="AI71" s="8"/>
    </row>
    <row r="72" spans="3:35" x14ac:dyDescent="0.2">
      <c r="C72" t="s">
        <v>27</v>
      </c>
      <c r="D72" s="18">
        <f>D71*N38</f>
        <v>15.299344384384385</v>
      </c>
      <c r="K72" s="8"/>
      <c r="M72" t="s">
        <v>49</v>
      </c>
      <c r="N72">
        <f>N69*N68/W31</f>
        <v>7.3539820227690067E-2</v>
      </c>
      <c r="Q72" s="8"/>
      <c r="S72" s="16" t="s">
        <v>183</v>
      </c>
      <c r="V72" s="8"/>
      <c r="Z72" s="8"/>
      <c r="AA72" s="6"/>
      <c r="AB72" s="7"/>
      <c r="AC72" s="7" t="s">
        <v>114</v>
      </c>
      <c r="AD72" s="7">
        <v>0.52</v>
      </c>
      <c r="AE72" s="7" t="s">
        <v>227</v>
      </c>
      <c r="AF72" s="7"/>
      <c r="AG72" s="7"/>
      <c r="AH72" s="7"/>
      <c r="AI72" s="8"/>
    </row>
    <row r="73" spans="3:35" x14ac:dyDescent="0.2">
      <c r="K73" s="8"/>
      <c r="M73" t="s">
        <v>50</v>
      </c>
      <c r="N73">
        <f>N70*N68/W32</f>
        <v>8.2736571339381663E-3</v>
      </c>
      <c r="Q73" s="8"/>
      <c r="V73" s="8"/>
      <c r="Z73" s="8"/>
      <c r="AA73" s="6"/>
      <c r="AB73" s="7"/>
      <c r="AC73" s="7" t="s">
        <v>115</v>
      </c>
      <c r="AD73" s="17">
        <f>AD71*(1-AD72)*D71</f>
        <v>49582.804828828834</v>
      </c>
      <c r="AE73" s="7"/>
      <c r="AF73" s="7"/>
      <c r="AG73" s="7"/>
      <c r="AH73" s="7"/>
      <c r="AI73" s="8"/>
    </row>
    <row r="74" spans="3:35" x14ac:dyDescent="0.2">
      <c r="C74" s="3" t="s">
        <v>9</v>
      </c>
      <c r="F74" s="59" t="s">
        <v>248</v>
      </c>
      <c r="G74" s="60">
        <v>1</v>
      </c>
      <c r="K74" s="8"/>
      <c r="M74" t="s">
        <v>254</v>
      </c>
      <c r="N74">
        <f>SUM(N72:N73)</f>
        <v>8.1813477361628237E-2</v>
      </c>
      <c r="Q74" s="8"/>
      <c r="V74" s="8"/>
      <c r="Z74" s="8"/>
      <c r="AA74" s="6"/>
      <c r="AB74" s="7"/>
      <c r="AC74" s="7" t="s">
        <v>117</v>
      </c>
      <c r="AD74" s="7">
        <f>$N$31*AD73</f>
        <v>56326066.285549559</v>
      </c>
      <c r="AE74" s="7"/>
      <c r="AF74" s="7"/>
      <c r="AG74" s="7"/>
      <c r="AH74" s="7"/>
      <c r="AI74" s="8"/>
    </row>
    <row r="75" spans="3:35" x14ac:dyDescent="0.2">
      <c r="C75" t="s">
        <v>22</v>
      </c>
      <c r="D75">
        <f>G32*N25</f>
        <v>12231.15</v>
      </c>
      <c r="F75" s="59"/>
      <c r="G75" s="60"/>
      <c r="K75" s="8"/>
      <c r="M75" s="3" t="s">
        <v>255</v>
      </c>
      <c r="N75" s="3">
        <f>N74*N31</f>
        <v>92.940110282809684</v>
      </c>
      <c r="Q75" s="8"/>
      <c r="R75" s="3" t="s">
        <v>184</v>
      </c>
      <c r="V75" s="8"/>
      <c r="Z75" s="8"/>
      <c r="AA75" s="6"/>
      <c r="AB75" s="7"/>
      <c r="AC75" s="7"/>
      <c r="AD75" s="7"/>
      <c r="AE75" s="7"/>
      <c r="AF75" s="7"/>
      <c r="AG75" s="7"/>
      <c r="AH75" s="7"/>
      <c r="AI75" s="8"/>
    </row>
    <row r="76" spans="3:35" x14ac:dyDescent="0.2">
      <c r="C76" t="s">
        <v>23</v>
      </c>
      <c r="D76">
        <v>0</v>
      </c>
      <c r="F76" s="59"/>
      <c r="G76" s="60"/>
      <c r="K76" s="8"/>
      <c r="M76" s="3" t="s">
        <v>256</v>
      </c>
      <c r="N76" s="3">
        <f>N67*N31</f>
        <v>21.54196235614905</v>
      </c>
      <c r="Q76" s="8"/>
      <c r="S76" t="s">
        <v>87</v>
      </c>
      <c r="T76">
        <v>1.5</v>
      </c>
      <c r="U76" s="16" t="s">
        <v>178</v>
      </c>
      <c r="V76" s="8"/>
      <c r="Z76" s="8"/>
      <c r="AA76" s="6"/>
      <c r="AB76" s="12" t="s">
        <v>134</v>
      </c>
      <c r="AC76" s="7"/>
      <c r="AD76" s="7"/>
      <c r="AE76" s="7"/>
      <c r="AF76" s="7"/>
      <c r="AG76" s="7"/>
      <c r="AH76" s="7"/>
      <c r="AI76" s="8"/>
    </row>
    <row r="77" spans="3:35" x14ac:dyDescent="0.2">
      <c r="C77" t="s">
        <v>24</v>
      </c>
      <c r="D77">
        <v>0.3</v>
      </c>
      <c r="F77" t="s">
        <v>249</v>
      </c>
      <c r="G77">
        <f>G74*D80</f>
        <v>4.0344327526132409</v>
      </c>
      <c r="K77" s="8"/>
      <c r="Q77" s="8"/>
      <c r="S77" t="s">
        <v>88</v>
      </c>
      <c r="T77">
        <v>82</v>
      </c>
      <c r="U77" s="16" t="s">
        <v>103</v>
      </c>
      <c r="V77" s="8"/>
      <c r="Z77" s="8"/>
      <c r="AA77" s="6"/>
      <c r="AB77" s="7"/>
      <c r="AC77" s="7" t="s">
        <v>125</v>
      </c>
      <c r="AD77">
        <f>((((40+96)/2)/1.28)/1.331)*0.67</f>
        <v>26.742111194590535</v>
      </c>
      <c r="AE77" s="7"/>
      <c r="AF77" s="7" t="s">
        <v>228</v>
      </c>
      <c r="AG77" s="7"/>
      <c r="AH77" s="7"/>
      <c r="AI77" s="8"/>
    </row>
    <row r="78" spans="3:35" x14ac:dyDescent="0.2">
      <c r="C78" t="s">
        <v>25</v>
      </c>
      <c r="D78" s="18">
        <f>F32*(1-SUM(D76:D77))</f>
        <v>3444000</v>
      </c>
      <c r="K78" s="8"/>
      <c r="M78" s="3" t="s">
        <v>243</v>
      </c>
      <c r="Q78" s="8"/>
      <c r="S78" t="s">
        <v>89</v>
      </c>
      <c r="T78">
        <v>4</v>
      </c>
      <c r="U78" s="16"/>
      <c r="V78" s="8"/>
      <c r="Z78" s="8"/>
      <c r="AA78" s="6"/>
      <c r="AB78" s="7"/>
      <c r="AC78" s="7" t="s">
        <v>126</v>
      </c>
      <c r="AD78">
        <f>((40+96)/2)</f>
        <v>68</v>
      </c>
      <c r="AE78" s="7"/>
      <c r="AF78" s="7" t="s">
        <v>229</v>
      </c>
      <c r="AG78" s="7"/>
      <c r="AH78" s="7"/>
      <c r="AI78" s="8"/>
    </row>
    <row r="79" spans="3:35" x14ac:dyDescent="0.2">
      <c r="C79" t="s">
        <v>26</v>
      </c>
      <c r="D79" s="18">
        <f>D75/D78</f>
        <v>3.5514372822299653E-3</v>
      </c>
      <c r="K79" s="8"/>
      <c r="Q79" s="8"/>
      <c r="S79" t="s">
        <v>90</v>
      </c>
      <c r="T79">
        <f>T76*T77*T78</f>
        <v>492</v>
      </c>
      <c r="U79" s="16"/>
      <c r="V79" s="8"/>
      <c r="Z79" s="8"/>
      <c r="AA79" s="6"/>
      <c r="AB79" s="7"/>
      <c r="AC79" s="7" t="s">
        <v>127</v>
      </c>
      <c r="AD79">
        <f>AD78-AD77</f>
        <v>41.257888805409465</v>
      </c>
      <c r="AE79" s="7"/>
      <c r="AF79" s="7" t="s">
        <v>230</v>
      </c>
      <c r="AG79" s="7"/>
      <c r="AH79" s="7"/>
      <c r="AI79" s="8"/>
    </row>
    <row r="80" spans="3:35" x14ac:dyDescent="0.2">
      <c r="C80" t="s">
        <v>27</v>
      </c>
      <c r="D80" s="18">
        <f>D79*N38</f>
        <v>4.0344327526132409</v>
      </c>
      <c r="K80" s="8"/>
      <c r="L80" s="29" t="s">
        <v>257</v>
      </c>
      <c r="Q80" s="8"/>
      <c r="S80" t="s">
        <v>91</v>
      </c>
      <c r="T80">
        <f>T79*N44/1000</f>
        <v>9.84</v>
      </c>
      <c r="U80" s="16"/>
      <c r="V80" s="8"/>
      <c r="Z80" s="8"/>
      <c r="AA80" s="6"/>
      <c r="AB80" s="7"/>
      <c r="AC80" s="7" t="s">
        <v>128</v>
      </c>
      <c r="AD80">
        <f>(AD77)*E41</f>
        <v>23800.478963185575</v>
      </c>
      <c r="AE80" s="7"/>
      <c r="AF80" s="7"/>
      <c r="AG80" s="7"/>
      <c r="AH80" s="7"/>
      <c r="AI80" s="8"/>
    </row>
    <row r="81" spans="1:35" x14ac:dyDescent="0.2">
      <c r="A81" s="7"/>
      <c r="B81" s="7"/>
      <c r="C81" s="7"/>
      <c r="D81" s="7"/>
      <c r="K81" s="8"/>
      <c r="M81" t="s">
        <v>261</v>
      </c>
      <c r="N81">
        <f>N25*G38</f>
        <v>0</v>
      </c>
      <c r="Q81" s="8"/>
      <c r="S81" t="s">
        <v>92</v>
      </c>
      <c r="T81">
        <f>T79*N38</f>
        <v>558912</v>
      </c>
      <c r="U81" s="16"/>
      <c r="V81" s="8"/>
      <c r="Z81" s="8"/>
      <c r="AA81" s="6"/>
      <c r="AB81" s="7"/>
      <c r="AC81" s="7" t="s">
        <v>129</v>
      </c>
      <c r="AD81">
        <f>AD79*E41</f>
        <v>36719.521036814425</v>
      </c>
      <c r="AE81" s="7"/>
      <c r="AF81" s="7"/>
      <c r="AG81" s="7"/>
      <c r="AH81" s="7"/>
      <c r="AI81" s="8"/>
    </row>
    <row r="82" spans="1:35" x14ac:dyDescent="0.2">
      <c r="C82" s="3" t="s">
        <v>313</v>
      </c>
      <c r="K82" s="8"/>
      <c r="M82" t="s">
        <v>48</v>
      </c>
      <c r="N82">
        <f>N81/E38</f>
        <v>0</v>
      </c>
      <c r="Q82" s="8"/>
      <c r="S82" t="s">
        <v>93</v>
      </c>
      <c r="T82">
        <f>T81/N43/10000</f>
        <v>43.326511627906974</v>
      </c>
      <c r="U82" s="16"/>
      <c r="V82" s="8"/>
      <c r="Z82" s="8"/>
      <c r="AA82" s="6"/>
      <c r="AB82" s="7"/>
      <c r="AC82" s="7" t="s">
        <v>130</v>
      </c>
      <c r="AD82">
        <f>N25*G41</f>
        <v>13046.56</v>
      </c>
      <c r="AE82" s="7"/>
      <c r="AF82" s="7"/>
      <c r="AG82" s="7"/>
      <c r="AH82" s="7"/>
      <c r="AI82" s="8"/>
    </row>
    <row r="83" spans="1:35" x14ac:dyDescent="0.2">
      <c r="C83" t="s">
        <v>22</v>
      </c>
      <c r="D83">
        <f>G26*N25</f>
        <v>342472.2</v>
      </c>
      <c r="F83" t="s">
        <v>207</v>
      </c>
      <c r="G83" s="18">
        <f>G63*D88</f>
        <v>8.1870458585858596</v>
      </c>
      <c r="K83" s="8"/>
      <c r="M83" t="s">
        <v>262</v>
      </c>
      <c r="N83">
        <f>N82/X26/T26</f>
        <v>0</v>
      </c>
      <c r="Q83" s="8"/>
      <c r="V83" s="8"/>
      <c r="Z83" s="8"/>
      <c r="AA83" s="6"/>
      <c r="AB83" s="7"/>
      <c r="AC83" s="7" t="s">
        <v>131</v>
      </c>
      <c r="AD83">
        <f>AD82/AD80</f>
        <v>0.54816375839243958</v>
      </c>
      <c r="AE83" s="7"/>
      <c r="AF83" s="7"/>
      <c r="AG83" s="7"/>
      <c r="AH83" s="7"/>
      <c r="AI83" s="8"/>
    </row>
    <row r="84" spans="1:35" x14ac:dyDescent="0.2">
      <c r="C84" t="s">
        <v>23</v>
      </c>
      <c r="D84">
        <v>0.1</v>
      </c>
      <c r="K84" s="8"/>
      <c r="M84" t="s">
        <v>263</v>
      </c>
      <c r="N84">
        <f>(70*(N83*T26)^0.75)*365</f>
        <v>0</v>
      </c>
      <c r="Q84" s="8"/>
      <c r="S84" s="16" t="s">
        <v>183</v>
      </c>
      <c r="V84" s="8"/>
      <c r="Z84" s="8"/>
      <c r="AA84" s="6"/>
      <c r="AB84" s="7"/>
      <c r="AC84" s="7" t="s">
        <v>132</v>
      </c>
      <c r="AD84">
        <f>AD83*N31</f>
        <v>622.71402953381141</v>
      </c>
      <c r="AE84" s="7"/>
      <c r="AF84" s="7"/>
      <c r="AG84" s="7"/>
      <c r="AH84" s="7"/>
      <c r="AI84" s="8"/>
    </row>
    <row r="85" spans="1:35" x14ac:dyDescent="0.2">
      <c r="C85" t="s">
        <v>24</v>
      </c>
      <c r="D85">
        <v>0.3</v>
      </c>
      <c r="K85" s="8"/>
      <c r="M85" t="s">
        <v>264</v>
      </c>
      <c r="N85">
        <v>0.65</v>
      </c>
      <c r="O85" s="60">
        <f>SUM(N85:N87)</f>
        <v>1</v>
      </c>
      <c r="Q85" s="8"/>
      <c r="V85" s="8"/>
      <c r="Z85" s="8"/>
      <c r="AA85" s="6"/>
      <c r="AB85" s="7"/>
      <c r="AC85" s="7" t="s">
        <v>133</v>
      </c>
      <c r="AD85">
        <f>AD84*AD79</f>
        <v>25691.866188074458</v>
      </c>
      <c r="AE85" s="7"/>
      <c r="AF85" s="7"/>
      <c r="AG85" s="7"/>
      <c r="AH85" s="7"/>
      <c r="AI85" s="8"/>
    </row>
    <row r="86" spans="1:35" x14ac:dyDescent="0.2">
      <c r="C86" t="s">
        <v>25</v>
      </c>
      <c r="D86" s="18">
        <f>F26*(1-(D84+D85))</f>
        <v>4752000</v>
      </c>
      <c r="K86" s="8"/>
      <c r="M86" t="s">
        <v>265</v>
      </c>
      <c r="N86">
        <v>0.1</v>
      </c>
      <c r="O86" s="60"/>
      <c r="Q86" s="8"/>
      <c r="V86" s="8"/>
      <c r="Z86" s="8"/>
      <c r="AA86" s="6"/>
      <c r="AB86" s="7"/>
      <c r="AC86" s="11" t="s">
        <v>187</v>
      </c>
      <c r="AD86" s="7">
        <f>AD84*AD81</f>
        <v>22865760.907386266</v>
      </c>
      <c r="AE86" s="7"/>
      <c r="AF86" s="7"/>
      <c r="AG86" s="7"/>
      <c r="AH86" s="7"/>
      <c r="AI86" s="8"/>
    </row>
    <row r="87" spans="1:35" x14ac:dyDescent="0.2">
      <c r="C87" t="s">
        <v>26</v>
      </c>
      <c r="D87" s="18">
        <f>D83/D86</f>
        <v>7.2069065656565665E-2</v>
      </c>
      <c r="K87" s="8"/>
      <c r="M87" t="s">
        <v>270</v>
      </c>
      <c r="N87">
        <v>0.25</v>
      </c>
      <c r="O87" s="60"/>
      <c r="Q87" s="8"/>
      <c r="R87" s="3" t="s">
        <v>244</v>
      </c>
      <c r="V87" s="8"/>
      <c r="Z87" s="8"/>
      <c r="AA87" s="6"/>
      <c r="AB87" s="12" t="s">
        <v>137</v>
      </c>
      <c r="AC87" s="7"/>
      <c r="AD87" s="7"/>
      <c r="AE87" s="7"/>
      <c r="AF87" s="7"/>
      <c r="AG87" s="7"/>
      <c r="AH87" s="7"/>
      <c r="AI87" s="8"/>
    </row>
    <row r="88" spans="1:35" x14ac:dyDescent="0.2">
      <c r="C88" t="s">
        <v>27</v>
      </c>
      <c r="D88" s="18">
        <f>D87*N38</f>
        <v>81.8704585858586</v>
      </c>
      <c r="K88" s="8"/>
      <c r="M88" t="s">
        <v>49</v>
      </c>
      <c r="N88">
        <f>N84*N85/W31</f>
        <v>0</v>
      </c>
      <c r="Q88" s="8"/>
      <c r="V88" s="8"/>
      <c r="Z88" s="8"/>
      <c r="AA88" s="6"/>
      <c r="AB88" s="7"/>
      <c r="AC88" s="7" t="s">
        <v>135</v>
      </c>
      <c r="AD88">
        <v>0.9</v>
      </c>
      <c r="AE88" s="7" t="s">
        <v>233</v>
      </c>
      <c r="AF88" s="7"/>
      <c r="AG88" s="7"/>
      <c r="AH88" s="7"/>
      <c r="AI88" s="8"/>
    </row>
    <row r="89" spans="1:35" x14ac:dyDescent="0.2">
      <c r="K89" s="8"/>
      <c r="M89" t="s">
        <v>50</v>
      </c>
      <c r="N89">
        <f>N86*N84/W32</f>
        <v>0</v>
      </c>
      <c r="Q89" s="8"/>
      <c r="V89" s="8"/>
      <c r="Z89" s="8"/>
      <c r="AA89" s="6"/>
      <c r="AB89" s="7"/>
      <c r="AC89" s="7" t="s">
        <v>136</v>
      </c>
      <c r="AD89">
        <v>0.2</v>
      </c>
      <c r="AE89" s="7" t="s">
        <v>234</v>
      </c>
      <c r="AF89" s="7"/>
      <c r="AG89" s="7"/>
      <c r="AH89" s="7"/>
      <c r="AI89" s="8"/>
    </row>
    <row r="90" spans="1:35" x14ac:dyDescent="0.2">
      <c r="A90" s="9"/>
      <c r="B90" s="9"/>
      <c r="C90" s="9"/>
      <c r="D90" s="9"/>
      <c r="E90" s="9"/>
      <c r="F90" s="9"/>
      <c r="G90" s="9"/>
      <c r="H90" s="9"/>
      <c r="I90" s="9"/>
      <c r="J90" s="9"/>
      <c r="K90" s="10"/>
      <c r="M90" t="s">
        <v>271</v>
      </c>
      <c r="N90">
        <f>N87*N84/W33</f>
        <v>0</v>
      </c>
      <c r="Q90" s="8"/>
      <c r="V90" s="8"/>
      <c r="Z90" s="8"/>
      <c r="AA90" s="6"/>
      <c r="AB90" s="7"/>
      <c r="AC90" s="7" t="s">
        <v>143</v>
      </c>
      <c r="AD90">
        <f>(1-AD88)*AD89</f>
        <v>1.9999999999999997E-2</v>
      </c>
      <c r="AE90" s="7"/>
      <c r="AF90" s="7"/>
      <c r="AG90" s="7"/>
      <c r="AH90" s="7"/>
      <c r="AI90" s="8"/>
    </row>
    <row r="91" spans="1:35" x14ac:dyDescent="0.2">
      <c r="K91" s="8"/>
      <c r="M91" t="s">
        <v>266</v>
      </c>
      <c r="N91">
        <f>SUM(N88:N90)</f>
        <v>0</v>
      </c>
      <c r="Q91" s="8"/>
      <c r="V91" s="8"/>
      <c r="Z91" s="8"/>
      <c r="AA91" s="6"/>
      <c r="AB91" s="7"/>
      <c r="AC91" s="7" t="s">
        <v>138</v>
      </c>
      <c r="AD91">
        <f>(AD89*AD88)*E43</f>
        <v>149.4</v>
      </c>
      <c r="AE91" s="7"/>
      <c r="AF91" s="7"/>
      <c r="AG91" s="7"/>
      <c r="AH91" s="7"/>
      <c r="AI91" s="8"/>
    </row>
    <row r="92" spans="1:35" x14ac:dyDescent="0.2">
      <c r="B92" s="3" t="s">
        <v>108</v>
      </c>
      <c r="D92" s="3" t="s">
        <v>109</v>
      </c>
      <c r="E92" s="3">
        <f>D99</f>
        <v>6.0417759828016253</v>
      </c>
      <c r="K92" s="8"/>
      <c r="M92" s="3" t="s">
        <v>267</v>
      </c>
      <c r="N92">
        <f>N91*N31</f>
        <v>0</v>
      </c>
      <c r="Q92" s="8"/>
      <c r="V92" s="8"/>
      <c r="Z92" s="8"/>
      <c r="AA92" s="6"/>
      <c r="AB92" s="7"/>
      <c r="AC92" s="7" t="s">
        <v>139</v>
      </c>
      <c r="AD92">
        <f>G43*N25</f>
        <v>48924.6</v>
      </c>
      <c r="AE92" s="7"/>
      <c r="AF92" s="7"/>
      <c r="AG92" s="7"/>
      <c r="AH92" s="7"/>
      <c r="AI92" s="8"/>
    </row>
    <row r="93" spans="1:35" x14ac:dyDescent="0.2">
      <c r="B93" s="3" t="s">
        <v>311</v>
      </c>
      <c r="K93" s="8"/>
      <c r="M93" s="3" t="s">
        <v>272</v>
      </c>
      <c r="N93">
        <f>N83*N31</f>
        <v>0</v>
      </c>
      <c r="Q93" s="8"/>
      <c r="V93" s="8"/>
      <c r="Z93" s="8"/>
      <c r="AA93" s="6"/>
      <c r="AB93" s="7"/>
      <c r="AC93" s="7" t="s">
        <v>140</v>
      </c>
      <c r="AD93">
        <f>AD92/AD91</f>
        <v>327.47389558232931</v>
      </c>
      <c r="AF93" s="7"/>
      <c r="AG93" s="7"/>
      <c r="AH93" s="7"/>
      <c r="AI93" s="8"/>
    </row>
    <row r="94" spans="1:35" x14ac:dyDescent="0.2">
      <c r="C94" t="s">
        <v>22</v>
      </c>
      <c r="D94">
        <f>N25*G29</f>
        <v>20385.25</v>
      </c>
      <c r="K94" s="8"/>
      <c r="Q94" s="8"/>
      <c r="V94" s="8"/>
      <c r="Z94" s="8"/>
      <c r="AA94" s="6"/>
      <c r="AB94" s="7"/>
      <c r="AC94" s="7" t="s">
        <v>141</v>
      </c>
      <c r="AD94">
        <f>AD93*N31</f>
        <v>372010.3453815261</v>
      </c>
      <c r="AE94" s="7" t="s">
        <v>317</v>
      </c>
      <c r="AF94" s="7"/>
      <c r="AG94" s="7"/>
      <c r="AH94" s="7"/>
      <c r="AI94" s="8"/>
    </row>
    <row r="95" spans="1:35" x14ac:dyDescent="0.2">
      <c r="C95" t="s">
        <v>23</v>
      </c>
      <c r="D95">
        <v>0</v>
      </c>
      <c r="K95" s="8"/>
      <c r="Q95" s="8"/>
      <c r="V95" s="8"/>
      <c r="Z95" s="8"/>
      <c r="AA95" s="6"/>
      <c r="AB95" s="7"/>
      <c r="AC95" s="7" t="s">
        <v>142</v>
      </c>
      <c r="AD95">
        <f>AD90*AD94</f>
        <v>7440.2069076305206</v>
      </c>
      <c r="AE95" s="7"/>
      <c r="AF95" s="7"/>
      <c r="AG95" s="7"/>
      <c r="AH95" s="7"/>
      <c r="AI95" s="8"/>
    </row>
    <row r="96" spans="1:35" x14ac:dyDescent="0.2">
      <c r="C96" t="s">
        <v>24</v>
      </c>
      <c r="D96">
        <v>0.3</v>
      </c>
      <c r="K96" s="8"/>
      <c r="Q96" s="8"/>
      <c r="V96" s="8"/>
      <c r="Z96" s="8"/>
      <c r="AA96" s="6"/>
      <c r="AB96" s="7"/>
      <c r="AC96" s="7" t="s">
        <v>144</v>
      </c>
      <c r="AD96">
        <f>AD95*E42</f>
        <v>8935688.496064255</v>
      </c>
      <c r="AE96" s="7"/>
      <c r="AF96" s="7"/>
      <c r="AG96" s="7"/>
      <c r="AH96" s="7"/>
      <c r="AI96" s="8"/>
    </row>
    <row r="97" spans="3:35" x14ac:dyDescent="0.2">
      <c r="C97" t="s">
        <v>25</v>
      </c>
      <c r="D97">
        <f>F29*(1-SUM(D95:D96))</f>
        <v>3832919.9999999995</v>
      </c>
      <c r="K97" s="8"/>
      <c r="Q97" s="8"/>
      <c r="V97" s="8"/>
      <c r="Z97" s="8"/>
      <c r="AA97" s="6"/>
      <c r="AB97" s="7"/>
      <c r="AC97" s="7"/>
      <c r="AD97" s="7"/>
      <c r="AE97" s="7"/>
      <c r="AF97" s="7"/>
      <c r="AG97" s="7"/>
      <c r="AH97" s="7"/>
      <c r="AI97" s="8"/>
    </row>
    <row r="98" spans="3:35" x14ac:dyDescent="0.2">
      <c r="C98" t="s">
        <v>26</v>
      </c>
      <c r="D98">
        <f>D94/D97</f>
        <v>5.3184647735929798E-3</v>
      </c>
      <c r="K98" s="8"/>
      <c r="Q98" s="8"/>
      <c r="V98" s="8"/>
      <c r="Z98" s="8"/>
      <c r="AA98" s="6"/>
      <c r="AB98" s="12" t="s">
        <v>121</v>
      </c>
      <c r="AC98" s="7"/>
      <c r="AD98" s="7"/>
      <c r="AE98" s="7"/>
      <c r="AF98" s="7"/>
      <c r="AG98" s="7"/>
      <c r="AH98" s="7"/>
      <c r="AI98" s="8"/>
    </row>
    <row r="99" spans="3:35" x14ac:dyDescent="0.2">
      <c r="C99" t="s">
        <v>27</v>
      </c>
      <c r="D99">
        <f>D98*N38</f>
        <v>6.0417759828016253</v>
      </c>
      <c r="K99" s="8"/>
      <c r="Q99" s="8"/>
      <c r="V99" s="8"/>
      <c r="Z99" s="8"/>
      <c r="AA99" s="6"/>
      <c r="AB99" s="7"/>
      <c r="AC99" s="7" t="s">
        <v>145</v>
      </c>
      <c r="AD99" s="7">
        <v>0.5</v>
      </c>
      <c r="AE99" s="7" t="s">
        <v>113</v>
      </c>
      <c r="AF99" s="7"/>
      <c r="AG99" s="7"/>
      <c r="AH99" s="7"/>
      <c r="AI99" s="8"/>
    </row>
    <row r="100" spans="3:35" x14ac:dyDescent="0.2">
      <c r="K100" s="8"/>
      <c r="Q100" s="8"/>
      <c r="V100" s="8"/>
      <c r="Z100" s="8"/>
      <c r="AA100" s="6"/>
      <c r="AB100" s="7"/>
      <c r="AC100" s="7" t="s">
        <v>146</v>
      </c>
      <c r="AD100" s="7">
        <f>AD99*365</f>
        <v>182.5</v>
      </c>
      <c r="AE100" s="7"/>
      <c r="AF100" s="7"/>
      <c r="AG100" s="7"/>
      <c r="AH100" s="7"/>
      <c r="AI100" s="8"/>
    </row>
    <row r="101" spans="3:35" x14ac:dyDescent="0.2">
      <c r="K101" s="8"/>
      <c r="Q101" s="8"/>
      <c r="V101" s="8"/>
      <c r="Z101" s="8"/>
      <c r="AA101" s="6"/>
      <c r="AB101" s="7"/>
      <c r="AC101" s="7" t="s">
        <v>148</v>
      </c>
      <c r="AD101" s="7">
        <f>V35</f>
        <v>890</v>
      </c>
      <c r="AE101" s="7"/>
      <c r="AF101" s="7"/>
      <c r="AG101" s="7"/>
      <c r="AH101" s="7"/>
      <c r="AI101" s="8"/>
    </row>
    <row r="102" spans="3:35" x14ac:dyDescent="0.2">
      <c r="K102" s="8"/>
      <c r="Q102" s="8"/>
      <c r="V102" s="8"/>
      <c r="Z102" s="8"/>
      <c r="AA102" s="6"/>
      <c r="AB102" s="7"/>
      <c r="AC102" s="7" t="s">
        <v>147</v>
      </c>
      <c r="AD102" s="7">
        <f>AD100*AD101</f>
        <v>162425</v>
      </c>
      <c r="AE102" s="7"/>
      <c r="AF102" s="7"/>
      <c r="AG102" s="7"/>
      <c r="AH102" s="7"/>
      <c r="AI102" s="8"/>
    </row>
    <row r="103" spans="3:35" x14ac:dyDescent="0.2">
      <c r="K103" s="8"/>
      <c r="Q103" s="8"/>
      <c r="V103" s="8"/>
      <c r="Z103" s="8"/>
      <c r="AA103" s="6"/>
      <c r="AB103" s="7"/>
      <c r="AC103" s="7" t="s">
        <v>150</v>
      </c>
      <c r="AD103" s="7">
        <f>AD100*N31</f>
        <v>207320</v>
      </c>
      <c r="AE103" s="7"/>
      <c r="AF103" s="7"/>
      <c r="AG103" s="7"/>
      <c r="AH103" s="7"/>
      <c r="AI103" s="8"/>
    </row>
    <row r="104" spans="3:35" x14ac:dyDescent="0.2">
      <c r="K104" s="8"/>
      <c r="Q104" s="8"/>
      <c r="V104" s="8"/>
      <c r="Z104" s="8"/>
      <c r="AA104" s="6"/>
      <c r="AB104" s="7"/>
      <c r="AC104" s="7" t="s">
        <v>149</v>
      </c>
      <c r="AD104" s="7">
        <f>AD102*N38</f>
        <v>184514800</v>
      </c>
      <c r="AE104" s="7"/>
      <c r="AF104" s="7"/>
      <c r="AG104" s="7"/>
      <c r="AH104" s="7"/>
      <c r="AI104" s="8"/>
    </row>
    <row r="105" spans="3:35" x14ac:dyDescent="0.2">
      <c r="K105" s="8"/>
      <c r="Q105" s="8"/>
      <c r="V105" s="8"/>
      <c r="Z105" s="8"/>
      <c r="AA105" s="6"/>
      <c r="AB105" s="7"/>
      <c r="AC105" s="7"/>
      <c r="AD105" s="7"/>
      <c r="AE105" s="7"/>
      <c r="AF105" s="7"/>
      <c r="AG105" s="7"/>
      <c r="AH105" s="7"/>
      <c r="AI105" s="8"/>
    </row>
    <row r="106" spans="3:35" x14ac:dyDescent="0.2">
      <c r="Z106" s="8"/>
      <c r="AA106" s="23"/>
      <c r="AB106" s="9"/>
      <c r="AC106" s="9"/>
      <c r="AD106" s="9"/>
      <c r="AE106" s="9"/>
      <c r="AF106" s="9"/>
      <c r="AG106" s="9"/>
      <c r="AH106" s="9"/>
      <c r="AI106" s="10"/>
    </row>
  </sheetData>
  <mergeCells count="10">
    <mergeCell ref="O69:O71"/>
    <mergeCell ref="F74:F76"/>
    <mergeCell ref="G74:G76"/>
    <mergeCell ref="O85:O87"/>
    <mergeCell ref="B25:B33"/>
    <mergeCell ref="B34:B39"/>
    <mergeCell ref="B40:B43"/>
    <mergeCell ref="O53:O54"/>
    <mergeCell ref="F67:F68"/>
    <mergeCell ref="G67:G68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0FE035-8ADC-1446-82E8-90872A10191E}">
  <dimension ref="A1:AI106"/>
  <sheetViews>
    <sheetView topLeftCell="A26" workbookViewId="0">
      <selection activeCell="H41" sqref="H41"/>
    </sheetView>
  </sheetViews>
  <sheetFormatPr baseColWidth="10" defaultRowHeight="16" x14ac:dyDescent="0.2"/>
  <cols>
    <col min="1" max="1" width="13.33203125" customWidth="1"/>
    <col min="2" max="2" width="14" customWidth="1"/>
    <col min="3" max="3" width="34.6640625" customWidth="1"/>
    <col min="4" max="4" width="19" customWidth="1"/>
    <col min="6" max="6" width="15" customWidth="1"/>
    <col min="13" max="13" width="43.5" customWidth="1"/>
    <col min="18" max="18" width="14.6640625" customWidth="1"/>
    <col min="19" max="19" width="43.83203125" customWidth="1"/>
    <col min="20" max="20" width="17.5" customWidth="1"/>
    <col min="22" max="22" width="14.5" customWidth="1"/>
    <col min="23" max="23" width="23.5" customWidth="1"/>
    <col min="24" max="24" width="33" customWidth="1"/>
    <col min="27" max="27" width="22.83203125" bestFit="1" customWidth="1"/>
    <col min="28" max="28" width="13.33203125" customWidth="1"/>
    <col min="29" max="29" width="50.1640625" bestFit="1" customWidth="1"/>
    <col min="30" max="30" width="12.1640625" bestFit="1" customWidth="1"/>
    <col min="33" max="33" width="45.6640625" bestFit="1" customWidth="1"/>
  </cols>
  <sheetData>
    <row r="1" spans="1:5" ht="21" x14ac:dyDescent="0.25">
      <c r="A1" s="2" t="s">
        <v>0</v>
      </c>
    </row>
    <row r="2" spans="1:5" ht="21" x14ac:dyDescent="0.25">
      <c r="A2" s="2" t="s">
        <v>167</v>
      </c>
      <c r="B2" s="2">
        <v>1800</v>
      </c>
    </row>
    <row r="3" spans="1:5" s="9" customFormat="1" ht="21" x14ac:dyDescent="0.25">
      <c r="A3" s="19" t="s">
        <v>166</v>
      </c>
      <c r="B3" s="19" t="s">
        <v>296</v>
      </c>
    </row>
    <row r="7" spans="1:5" ht="19" x14ac:dyDescent="0.25">
      <c r="B7" s="20" t="s">
        <v>168</v>
      </c>
      <c r="C7" s="4"/>
      <c r="D7" s="4"/>
      <c r="E7" s="5"/>
    </row>
    <row r="8" spans="1:5" x14ac:dyDescent="0.2">
      <c r="B8" s="21" t="s">
        <v>169</v>
      </c>
      <c r="C8" s="12" t="s">
        <v>251</v>
      </c>
      <c r="D8" s="12" t="s">
        <v>104</v>
      </c>
      <c r="E8" s="22" t="s">
        <v>252</v>
      </c>
    </row>
    <row r="9" spans="1:5" x14ac:dyDescent="0.2">
      <c r="B9" s="6">
        <v>1</v>
      </c>
      <c r="C9" s="7" t="s">
        <v>105</v>
      </c>
      <c r="D9" s="15">
        <f>N34*(N38/N31)</f>
        <v>5.5500000000000007</v>
      </c>
      <c r="E9" s="8">
        <v>1</v>
      </c>
    </row>
    <row r="10" spans="1:5" x14ac:dyDescent="0.2">
      <c r="B10" s="6">
        <v>2</v>
      </c>
      <c r="C10" s="7" t="s">
        <v>212</v>
      </c>
      <c r="D10" s="15">
        <f>E48+G69</f>
        <v>112.31717880032849</v>
      </c>
      <c r="E10" s="8">
        <v>2</v>
      </c>
    </row>
    <row r="11" spans="1:5" x14ac:dyDescent="0.2">
      <c r="B11" s="6">
        <v>3</v>
      </c>
      <c r="C11" s="7" t="s">
        <v>213</v>
      </c>
      <c r="D11" s="15">
        <f>E57</f>
        <v>211.61933588226123</v>
      </c>
      <c r="E11" s="8">
        <v>3</v>
      </c>
    </row>
    <row r="12" spans="1:5" x14ac:dyDescent="0.2">
      <c r="B12" s="6">
        <v>4</v>
      </c>
      <c r="C12" s="7" t="s">
        <v>214</v>
      </c>
      <c r="D12" s="15">
        <f>D11/(1/3)-D11</f>
        <v>423.23867176452245</v>
      </c>
      <c r="E12" s="8">
        <v>4</v>
      </c>
    </row>
    <row r="13" spans="1:5" x14ac:dyDescent="0.2">
      <c r="B13" s="6">
        <v>5</v>
      </c>
      <c r="C13" s="7" t="s">
        <v>285</v>
      </c>
      <c r="D13" s="15">
        <f>N75+N92</f>
        <v>92.940110282809684</v>
      </c>
      <c r="E13" s="8">
        <v>4</v>
      </c>
    </row>
    <row r="14" spans="1:5" x14ac:dyDescent="0.2">
      <c r="B14" s="6">
        <v>6</v>
      </c>
      <c r="C14" s="7" t="s">
        <v>215</v>
      </c>
      <c r="D14" s="15">
        <f>E92</f>
        <v>6.0417759828016253</v>
      </c>
      <c r="E14" s="8">
        <v>5</v>
      </c>
    </row>
    <row r="15" spans="1:5" x14ac:dyDescent="0.2">
      <c r="B15" s="6">
        <v>7</v>
      </c>
      <c r="C15" s="7" t="s">
        <v>216</v>
      </c>
      <c r="D15" s="15">
        <f>U47</f>
        <v>85.199999999999989</v>
      </c>
      <c r="E15" s="8">
        <v>5</v>
      </c>
    </row>
    <row r="16" spans="1:5" x14ac:dyDescent="0.2">
      <c r="B16" s="6">
        <v>8</v>
      </c>
      <c r="C16" s="7" t="s">
        <v>238</v>
      </c>
      <c r="D16" s="15">
        <f>N58</f>
        <v>60.675686759809338</v>
      </c>
      <c r="E16" s="8">
        <v>6</v>
      </c>
    </row>
    <row r="17" spans="1:35" x14ac:dyDescent="0.2">
      <c r="B17" s="6">
        <v>9</v>
      </c>
      <c r="C17" s="7" t="s">
        <v>106</v>
      </c>
      <c r="D17" s="15">
        <f>Y52</f>
        <v>1389.99584304</v>
      </c>
      <c r="E17" s="8">
        <v>6</v>
      </c>
    </row>
    <row r="18" spans="1:35" x14ac:dyDescent="0.2">
      <c r="B18" s="6">
        <v>10</v>
      </c>
      <c r="C18" s="7" t="s">
        <v>211</v>
      </c>
      <c r="D18" s="15">
        <f>SUM(D9:D15)+D16</f>
        <v>997.58275947253276</v>
      </c>
      <c r="E18" s="8" t="s">
        <v>16</v>
      </c>
    </row>
    <row r="19" spans="1:35" x14ac:dyDescent="0.2">
      <c r="B19" s="23">
        <v>11</v>
      </c>
      <c r="C19" s="46" t="s">
        <v>253</v>
      </c>
      <c r="D19" s="41">
        <f>SUM(D9:D17)</f>
        <v>2387.5786025125326</v>
      </c>
      <c r="E19" s="10" t="s">
        <v>16</v>
      </c>
    </row>
    <row r="21" spans="1:35" s="4" customFormat="1" x14ac:dyDescent="0.2">
      <c r="A21" s="26"/>
      <c r="K21" s="5"/>
      <c r="Q21" s="5"/>
      <c r="R21" s="26"/>
      <c r="Z21" s="5"/>
      <c r="AA21" s="26"/>
      <c r="AI21" s="5"/>
    </row>
    <row r="22" spans="1:35" ht="19" x14ac:dyDescent="0.25">
      <c r="A22" s="27" t="s">
        <v>170</v>
      </c>
      <c r="C22" s="7"/>
      <c r="D22" s="7"/>
      <c r="E22" s="7"/>
      <c r="F22" s="7"/>
      <c r="G22" s="7"/>
      <c r="H22" s="7"/>
      <c r="I22" s="7"/>
      <c r="J22" s="7"/>
      <c r="K22" s="8"/>
      <c r="L22" s="7"/>
      <c r="M22" s="7"/>
      <c r="N22" s="7"/>
      <c r="O22" s="7"/>
      <c r="P22" s="7"/>
      <c r="Q22" s="8"/>
      <c r="R22" s="6"/>
      <c r="S22" s="7"/>
      <c r="T22" s="7"/>
      <c r="U22" s="7"/>
      <c r="V22" s="7"/>
      <c r="W22" s="7"/>
      <c r="X22" s="7"/>
      <c r="Y22" s="7"/>
      <c r="Z22" s="8"/>
      <c r="AA22" s="6"/>
      <c r="AB22" s="7"/>
      <c r="AC22" s="7"/>
      <c r="AD22" s="7"/>
      <c r="AE22" s="7"/>
      <c r="AF22" s="7"/>
      <c r="AG22" s="7"/>
      <c r="AH22" s="7"/>
      <c r="AI22" s="8"/>
    </row>
    <row r="23" spans="1:35" ht="19" x14ac:dyDescent="0.25">
      <c r="A23" s="24" t="s">
        <v>28</v>
      </c>
      <c r="C23" s="7"/>
      <c r="D23" s="7"/>
      <c r="E23" s="7"/>
      <c r="F23" s="7"/>
      <c r="G23" s="7"/>
      <c r="H23" s="7"/>
      <c r="I23" s="7"/>
      <c r="J23" s="7"/>
      <c r="K23" s="8"/>
      <c r="L23" s="24" t="s">
        <v>31</v>
      </c>
      <c r="N23" s="7"/>
      <c r="O23" s="7"/>
      <c r="P23" s="7"/>
      <c r="Q23" s="8"/>
      <c r="R23" s="31" t="s">
        <v>45</v>
      </c>
      <c r="S23" s="7"/>
      <c r="T23" s="7"/>
      <c r="U23" s="7"/>
      <c r="V23" s="7"/>
      <c r="W23" s="7"/>
      <c r="X23" s="7"/>
      <c r="Y23" s="7"/>
      <c r="Z23" s="8"/>
      <c r="AA23" s="31" t="s">
        <v>152</v>
      </c>
      <c r="AB23" s="7"/>
      <c r="AC23" s="7"/>
      <c r="AD23" s="7"/>
      <c r="AE23" s="7"/>
      <c r="AF23" s="7"/>
      <c r="AG23" s="7"/>
      <c r="AH23" s="7"/>
      <c r="AI23" s="8"/>
    </row>
    <row r="24" spans="1:35" ht="34" x14ac:dyDescent="0.2">
      <c r="A24" s="6"/>
      <c r="B24" s="51"/>
      <c r="C24" s="51" t="s">
        <v>1</v>
      </c>
      <c r="D24" s="51" t="s">
        <v>2</v>
      </c>
      <c r="E24" s="47" t="s">
        <v>3</v>
      </c>
      <c r="F24" s="47" t="s">
        <v>4</v>
      </c>
      <c r="G24" s="48" t="s">
        <v>44</v>
      </c>
      <c r="H24" t="s">
        <v>18</v>
      </c>
      <c r="I24" s="7"/>
      <c r="J24" s="7"/>
      <c r="K24" s="8"/>
      <c r="L24" s="7"/>
      <c r="M24" s="7" t="s">
        <v>29</v>
      </c>
      <c r="N24" s="7">
        <v>2234</v>
      </c>
      <c r="O24" s="7" t="s">
        <v>172</v>
      </c>
      <c r="P24" s="7"/>
      <c r="Q24" s="8"/>
      <c r="R24" s="6"/>
      <c r="S24" s="33" t="s">
        <v>47</v>
      </c>
      <c r="T24" s="28">
        <v>45</v>
      </c>
      <c r="U24" s="7"/>
      <c r="V24" s="7"/>
      <c r="W24" s="14" t="s">
        <v>52</v>
      </c>
      <c r="X24" s="28">
        <v>7.3599999999999999E-2</v>
      </c>
      <c r="Y24" s="7" t="s">
        <v>274</v>
      </c>
      <c r="Z24" s="8"/>
      <c r="AA24" s="6"/>
      <c r="AB24" s="7"/>
      <c r="AC24" s="12" t="s">
        <v>153</v>
      </c>
      <c r="AD24" s="12" t="s">
        <v>154</v>
      </c>
      <c r="AE24" s="7"/>
      <c r="AF24" s="7"/>
      <c r="AG24" s="7" t="s">
        <v>161</v>
      </c>
      <c r="AH24" s="7">
        <f>N59</f>
        <v>391.23754978607303</v>
      </c>
      <c r="AI24" s="8"/>
    </row>
    <row r="25" spans="1:35" ht="34" x14ac:dyDescent="0.2">
      <c r="A25" s="6"/>
      <c r="B25" s="61" t="s">
        <v>17</v>
      </c>
      <c r="C25" t="s">
        <v>5</v>
      </c>
      <c r="D25" s="51">
        <v>1650</v>
      </c>
      <c r="E25" s="54">
        <v>3540</v>
      </c>
      <c r="F25" s="49">
        <f>D25*E25</f>
        <v>5841000</v>
      </c>
      <c r="G25" s="51">
        <v>0.32</v>
      </c>
      <c r="I25" s="7"/>
      <c r="L25" s="7"/>
      <c r="M25" s="7" t="s">
        <v>30</v>
      </c>
      <c r="N25" s="7">
        <f>N24*365</f>
        <v>815410</v>
      </c>
      <c r="O25" s="7"/>
      <c r="P25" s="7"/>
      <c r="Q25" s="8"/>
      <c r="R25" s="6"/>
      <c r="S25" s="33" t="s">
        <v>46</v>
      </c>
      <c r="T25" s="28">
        <v>436</v>
      </c>
      <c r="U25" s="32" t="s">
        <v>218</v>
      </c>
      <c r="V25" s="7"/>
      <c r="W25" s="14" t="s">
        <v>53</v>
      </c>
      <c r="X25" s="28">
        <v>0.222</v>
      </c>
      <c r="Y25" s="32" t="s">
        <v>275</v>
      </c>
      <c r="Z25" s="8"/>
      <c r="AA25" s="6"/>
      <c r="AB25" s="12" t="s">
        <v>151</v>
      </c>
      <c r="AC25" s="36">
        <f>AD56/1000</f>
        <v>594641.71070220461</v>
      </c>
      <c r="AD25" s="36">
        <f>AC25*$AB$39</f>
        <v>285428021.1370582</v>
      </c>
      <c r="AE25" s="7"/>
      <c r="AF25" s="7"/>
      <c r="AG25" s="7" t="s">
        <v>162</v>
      </c>
      <c r="AH25" s="7">
        <f>N52/N51</f>
        <v>579475.04789838311</v>
      </c>
      <c r="AI25" s="8"/>
    </row>
    <row r="26" spans="1:35" ht="34" x14ac:dyDescent="0.2">
      <c r="A26" s="6"/>
      <c r="B26" s="61"/>
      <c r="C26" t="s">
        <v>315</v>
      </c>
      <c r="D26" s="51">
        <v>6000</v>
      </c>
      <c r="E26" s="54">
        <v>1320</v>
      </c>
      <c r="F26" s="49">
        <f t="shared" ref="F26:F32" si="0">D26*E26</f>
        <v>7920000</v>
      </c>
      <c r="G26" s="51">
        <f>0.21+(0.5*0.32)</f>
        <v>0.37</v>
      </c>
      <c r="I26" s="7"/>
      <c r="J26" s="7"/>
      <c r="K26" s="8"/>
      <c r="L26" s="7"/>
      <c r="M26" s="7"/>
      <c r="N26" s="7"/>
      <c r="O26" s="7"/>
      <c r="P26" s="7"/>
      <c r="Q26" s="8"/>
      <c r="R26" s="6"/>
      <c r="S26" s="33" t="s">
        <v>269</v>
      </c>
      <c r="T26" s="28">
        <v>35</v>
      </c>
      <c r="U26" s="7"/>
      <c r="V26" s="7"/>
      <c r="W26" s="14" t="s">
        <v>273</v>
      </c>
      <c r="X26" s="28">
        <v>0.113</v>
      </c>
      <c r="Y26" s="7" t="s">
        <v>274</v>
      </c>
      <c r="Z26" s="8"/>
      <c r="AA26" s="6"/>
      <c r="AB26" s="12" t="s">
        <v>155</v>
      </c>
      <c r="AC26" s="36">
        <f>AD65/1000</f>
        <v>469003.23216842103</v>
      </c>
      <c r="AD26" s="36">
        <f>AC26*$AB$39</f>
        <v>225121551.44084209</v>
      </c>
      <c r="AE26" s="7"/>
      <c r="AF26" s="7"/>
      <c r="AG26" s="7" t="s">
        <v>163</v>
      </c>
      <c r="AH26" s="36">
        <f>AH25*AH24</f>
        <v>226712397.90193072</v>
      </c>
      <c r="AI26" s="8"/>
    </row>
    <row r="27" spans="1:35" ht="16" customHeight="1" x14ac:dyDescent="0.2">
      <c r="A27" s="6"/>
      <c r="B27" s="61"/>
      <c r="C27" t="s">
        <v>120</v>
      </c>
      <c r="D27" s="51">
        <v>2000</v>
      </c>
      <c r="E27" s="54">
        <v>1110</v>
      </c>
      <c r="F27" s="49">
        <f t="shared" si="0"/>
        <v>2220000</v>
      </c>
      <c r="G27" s="51">
        <v>2.1999999999999999E-2</v>
      </c>
      <c r="I27" s="7"/>
      <c r="J27" s="7"/>
      <c r="K27" s="8"/>
      <c r="L27" s="9"/>
      <c r="M27" s="9"/>
      <c r="N27" s="9"/>
      <c r="O27" s="9"/>
      <c r="P27" s="9"/>
      <c r="Q27" s="10"/>
      <c r="R27" s="6"/>
      <c r="S27" s="7"/>
      <c r="T27" s="7"/>
      <c r="U27" s="7"/>
      <c r="V27" s="7"/>
      <c r="W27" s="7"/>
      <c r="X27" s="7"/>
      <c r="Y27" s="7"/>
      <c r="Z27" s="8"/>
      <c r="AA27" s="6"/>
      <c r="AB27" s="12" t="s">
        <v>156</v>
      </c>
      <c r="AC27" s="36">
        <f>AD74/1000</f>
        <v>56326.066285549561</v>
      </c>
      <c r="AD27" s="36">
        <f>AC27*AB40</f>
        <v>13574581.974817444</v>
      </c>
      <c r="AE27" s="7"/>
      <c r="AF27" s="7"/>
      <c r="AG27" s="7"/>
      <c r="AH27" s="7"/>
      <c r="AI27" s="8"/>
    </row>
    <row r="28" spans="1:35" x14ac:dyDescent="0.2">
      <c r="A28" s="6"/>
      <c r="B28" s="61"/>
      <c r="C28" t="s">
        <v>276</v>
      </c>
      <c r="D28" s="51">
        <v>5000</v>
      </c>
      <c r="E28" s="54">
        <v>950</v>
      </c>
      <c r="F28" s="49">
        <f t="shared" si="0"/>
        <v>4750000</v>
      </c>
      <c r="G28" s="51">
        <f>0.21+(0.5*0.32)</f>
        <v>0.37</v>
      </c>
      <c r="I28" s="7"/>
      <c r="J28" s="7"/>
      <c r="K28" s="8"/>
      <c r="L28" s="7"/>
      <c r="M28" s="7"/>
      <c r="N28" s="7"/>
      <c r="O28" s="7"/>
      <c r="P28" s="7"/>
      <c r="Q28" s="8"/>
      <c r="R28" s="6"/>
      <c r="S28" s="7"/>
      <c r="T28" s="7"/>
      <c r="Y28" s="7"/>
      <c r="Z28" s="8"/>
      <c r="AA28" s="6"/>
      <c r="AB28" s="12" t="s">
        <v>157</v>
      </c>
      <c r="AC28" s="36">
        <f>AD85</f>
        <v>25691.866188074458</v>
      </c>
      <c r="AD28" s="36">
        <f>AD86</f>
        <v>22865760.907386266</v>
      </c>
      <c r="AE28" s="7"/>
      <c r="AF28" s="7"/>
      <c r="AG28" s="7"/>
      <c r="AH28" s="7"/>
      <c r="AI28" s="8"/>
    </row>
    <row r="29" spans="1:35" ht="19" x14ac:dyDescent="0.25">
      <c r="A29" s="6"/>
      <c r="B29" s="61"/>
      <c r="C29" t="s">
        <v>311</v>
      </c>
      <c r="D29" s="51">
        <v>5070</v>
      </c>
      <c r="E29" s="54">
        <v>1080</v>
      </c>
      <c r="F29" s="49">
        <f t="shared" si="0"/>
        <v>5475600</v>
      </c>
      <c r="G29" s="51">
        <v>2.5000000000000001E-2</v>
      </c>
      <c r="I29" s="7"/>
      <c r="J29" s="7"/>
      <c r="K29" s="8"/>
      <c r="L29" s="24" t="s">
        <v>32</v>
      </c>
      <c r="N29" s="7"/>
      <c r="O29" s="7"/>
      <c r="P29" s="7"/>
      <c r="Q29" s="8"/>
      <c r="R29" s="6"/>
      <c r="S29" s="7"/>
      <c r="T29" s="7"/>
      <c r="U29" s="28" t="s">
        <v>56</v>
      </c>
      <c r="V29" s="28" t="s">
        <v>57</v>
      </c>
      <c r="W29" s="28" t="s">
        <v>58</v>
      </c>
      <c r="X29" s="7"/>
      <c r="Y29" s="7"/>
      <c r="Z29" s="8"/>
      <c r="AA29" s="6"/>
      <c r="AB29" s="12" t="s">
        <v>158</v>
      </c>
      <c r="AC29" s="36">
        <f>AD95</f>
        <v>7440.2069076305206</v>
      </c>
      <c r="AD29" s="36">
        <f t="shared" ref="AD29" si="1">AC29*$AB$39</f>
        <v>3571299.3156626499</v>
      </c>
      <c r="AE29" s="7"/>
      <c r="AF29" s="7"/>
      <c r="AG29" s="7" t="s">
        <v>164</v>
      </c>
      <c r="AH29" s="7" t="str">
        <f>IF(AD31&gt;AH26,"YES","NO")</f>
        <v>YES</v>
      </c>
      <c r="AI29" s="8"/>
    </row>
    <row r="30" spans="1:35" x14ac:dyDescent="0.2">
      <c r="A30" s="6"/>
      <c r="B30" s="61"/>
      <c r="C30" t="s">
        <v>7</v>
      </c>
      <c r="D30" s="49" t="s">
        <v>16</v>
      </c>
      <c r="E30" s="49" t="s">
        <v>16</v>
      </c>
      <c r="F30" s="49" t="s">
        <v>16</v>
      </c>
      <c r="G30" s="51">
        <v>0</v>
      </c>
      <c r="I30" s="7"/>
      <c r="J30" s="7"/>
      <c r="K30" s="8"/>
      <c r="L30" s="7"/>
      <c r="M30" s="12" t="s">
        <v>34</v>
      </c>
      <c r="N30" s="12" t="s">
        <v>35</v>
      </c>
      <c r="O30" s="12" t="s">
        <v>36</v>
      </c>
      <c r="P30" s="7"/>
      <c r="Q30" s="8"/>
      <c r="R30" s="6"/>
      <c r="T30" s="12"/>
      <c r="U30" s="28" t="s">
        <v>59</v>
      </c>
      <c r="V30" s="28" t="s">
        <v>60</v>
      </c>
      <c r="W30" s="28" t="s">
        <v>61</v>
      </c>
      <c r="X30" s="7" t="s">
        <v>177</v>
      </c>
      <c r="Y30" s="7"/>
      <c r="Z30" s="8"/>
      <c r="AA30" s="6"/>
      <c r="AB30" s="12" t="s">
        <v>159</v>
      </c>
      <c r="AC30" s="36">
        <f>AD103</f>
        <v>207320</v>
      </c>
      <c r="AD30" s="36">
        <f>AD104</f>
        <v>184514800</v>
      </c>
      <c r="AE30" s="7"/>
      <c r="AF30" s="7"/>
      <c r="AG30" s="7" t="s">
        <v>165</v>
      </c>
      <c r="AH30" s="15">
        <f>AD31/AH26</f>
        <v>3.2423282607320814</v>
      </c>
      <c r="AI30" s="8"/>
    </row>
    <row r="31" spans="1:35" x14ac:dyDescent="0.2">
      <c r="A31" s="6"/>
      <c r="B31" s="61"/>
      <c r="C31" t="s">
        <v>8</v>
      </c>
      <c r="D31" s="51" t="s">
        <v>16</v>
      </c>
      <c r="E31" s="49" t="s">
        <v>16</v>
      </c>
      <c r="F31" s="49" t="s">
        <v>16</v>
      </c>
      <c r="G31" s="51">
        <v>0</v>
      </c>
      <c r="I31" s="7"/>
      <c r="J31" s="7"/>
      <c r="K31" s="8"/>
      <c r="L31" s="7"/>
      <c r="M31" s="12" t="s">
        <v>33</v>
      </c>
      <c r="N31" s="12">
        <f>N32*N33</f>
        <v>1136</v>
      </c>
      <c r="O31" s="7"/>
      <c r="P31" s="7"/>
      <c r="Q31" s="8"/>
      <c r="R31" s="6"/>
      <c r="S31" s="33" t="s">
        <v>179</v>
      </c>
      <c r="T31" s="12" t="s">
        <v>62</v>
      </c>
      <c r="U31" s="7">
        <v>700</v>
      </c>
      <c r="V31" s="7">
        <v>1452</v>
      </c>
      <c r="W31" s="7">
        <f>U31*V31</f>
        <v>1016400</v>
      </c>
      <c r="X31" s="32" t="s">
        <v>178</v>
      </c>
      <c r="Y31" s="7"/>
      <c r="Z31" s="8"/>
      <c r="AA31" s="6"/>
      <c r="AB31" s="12" t="s">
        <v>160</v>
      </c>
      <c r="AC31" s="36">
        <f>SUM(AC25:AC30)</f>
        <v>1360423.0822518803</v>
      </c>
      <c r="AD31" s="36">
        <f>SUM(AD25:AD30)</f>
        <v>735076014.77576661</v>
      </c>
      <c r="AE31" s="7"/>
      <c r="AF31" s="7"/>
      <c r="AG31" s="11" t="s">
        <v>235</v>
      </c>
      <c r="AH31" s="15">
        <f>(AD25+AD26+AD27+AD30)/AH26</f>
        <v>3.1257176983292045</v>
      </c>
      <c r="AI31" s="8"/>
    </row>
    <row r="32" spans="1:35" x14ac:dyDescent="0.2">
      <c r="A32" s="6"/>
      <c r="B32" s="61"/>
      <c r="C32" t="s">
        <v>277</v>
      </c>
      <c r="D32" s="51">
        <v>12000</v>
      </c>
      <c r="E32" s="54">
        <v>410</v>
      </c>
      <c r="F32" s="49">
        <f t="shared" si="0"/>
        <v>4920000</v>
      </c>
      <c r="G32" s="51">
        <v>1.4999999999999999E-2</v>
      </c>
      <c r="I32" s="7"/>
      <c r="J32" s="7"/>
      <c r="K32" s="8"/>
      <c r="L32" s="7"/>
      <c r="M32" s="7" t="s">
        <v>37</v>
      </c>
      <c r="N32" s="7">
        <v>284</v>
      </c>
      <c r="O32" s="7" t="s">
        <v>283</v>
      </c>
      <c r="P32" s="7"/>
      <c r="Q32" s="8"/>
      <c r="R32" s="6"/>
      <c r="S32" s="7"/>
      <c r="T32" s="12" t="s">
        <v>63</v>
      </c>
      <c r="U32" s="7">
        <v>700</v>
      </c>
      <c r="V32" s="7">
        <v>2151</v>
      </c>
      <c r="W32" s="7">
        <f>U32*V32</f>
        <v>1505700</v>
      </c>
      <c r="X32" s="32" t="s">
        <v>178</v>
      </c>
      <c r="Y32" s="7"/>
      <c r="Z32" s="8"/>
      <c r="AA32" s="6"/>
      <c r="AB32" s="7"/>
      <c r="AC32" s="7"/>
      <c r="AD32" s="7"/>
      <c r="AE32" s="7"/>
      <c r="AF32" s="7"/>
      <c r="AG32" s="11" t="s">
        <v>236</v>
      </c>
      <c r="AH32" s="15">
        <f>(SUM(AD25:AD26)+AD30)/AH26</f>
        <v>3.0658419169407982</v>
      </c>
      <c r="AI32" s="8"/>
    </row>
    <row r="33" spans="1:35" x14ac:dyDescent="0.2">
      <c r="A33" s="6"/>
      <c r="B33" s="61"/>
      <c r="C33" t="s">
        <v>278</v>
      </c>
      <c r="D33" s="49" t="s">
        <v>16</v>
      </c>
      <c r="E33" s="49" t="s">
        <v>16</v>
      </c>
      <c r="F33" s="49" t="s">
        <v>16</v>
      </c>
      <c r="G33" s="51">
        <v>3.5000000000000003E-2</v>
      </c>
      <c r="I33" s="7"/>
      <c r="J33" s="7"/>
      <c r="K33" s="8"/>
      <c r="L33" s="7"/>
      <c r="M33" s="7" t="s">
        <v>38</v>
      </c>
      <c r="N33" s="7">
        <v>4</v>
      </c>
      <c r="O33" s="7"/>
      <c r="P33" s="7"/>
      <c r="Q33" s="8"/>
      <c r="R33" s="6"/>
      <c r="S33" s="7"/>
      <c r="T33" s="12" t="s">
        <v>64</v>
      </c>
      <c r="U33" s="7"/>
      <c r="V33" s="7"/>
      <c r="W33" s="7">
        <v>373646.2</v>
      </c>
      <c r="X33" s="32" t="s">
        <v>178</v>
      </c>
      <c r="Y33" s="7"/>
      <c r="Z33" s="8"/>
      <c r="AA33" s="6"/>
      <c r="AB33" s="7"/>
      <c r="AC33" s="7"/>
      <c r="AD33" s="7"/>
      <c r="AE33" s="7"/>
      <c r="AF33" s="7"/>
      <c r="AG33" s="11" t="s">
        <v>237</v>
      </c>
      <c r="AH33" s="15">
        <f>(AD26+AD30)/AH26</f>
        <v>1.8068546547597235</v>
      </c>
      <c r="AI33" s="8"/>
    </row>
    <row r="34" spans="1:35" ht="16" customHeight="1" x14ac:dyDescent="0.2">
      <c r="A34" s="6"/>
      <c r="B34" s="63" t="s">
        <v>20</v>
      </c>
      <c r="C34" t="s">
        <v>10</v>
      </c>
      <c r="D34" s="51" t="s">
        <v>16</v>
      </c>
      <c r="E34" s="54">
        <v>2370</v>
      </c>
      <c r="F34" s="51" t="s">
        <v>16</v>
      </c>
      <c r="G34" s="51">
        <v>0.01</v>
      </c>
      <c r="H34" t="s">
        <v>19</v>
      </c>
      <c r="I34" s="7"/>
      <c r="J34" s="7"/>
      <c r="K34" s="8"/>
      <c r="L34" s="7"/>
      <c r="M34" s="12" t="s">
        <v>40</v>
      </c>
      <c r="N34" s="12">
        <f>3.39+2.16</f>
        <v>5.5500000000000007</v>
      </c>
      <c r="O34" s="7" t="s">
        <v>284</v>
      </c>
      <c r="P34" s="7"/>
      <c r="Q34" s="8"/>
      <c r="R34" s="6"/>
      <c r="S34" s="7"/>
      <c r="T34" s="12" t="s">
        <v>65</v>
      </c>
      <c r="U34" s="7">
        <f>N31*3</f>
        <v>3408</v>
      </c>
      <c r="V34" s="7">
        <v>1122</v>
      </c>
      <c r="W34" s="7">
        <f>U34*V34</f>
        <v>3823776</v>
      </c>
      <c r="X34" s="32" t="s">
        <v>178</v>
      </c>
      <c r="Y34" s="7"/>
      <c r="Z34" s="8"/>
      <c r="AA34" s="6"/>
      <c r="AB34" s="7"/>
      <c r="AC34" s="7"/>
      <c r="AD34" s="7"/>
      <c r="AE34" s="7"/>
      <c r="AF34" s="7"/>
      <c r="AG34" s="7"/>
      <c r="AH34" s="7"/>
      <c r="AI34" s="8"/>
    </row>
    <row r="35" spans="1:35" ht="16" customHeight="1" x14ac:dyDescent="0.2">
      <c r="A35" s="6"/>
      <c r="B35" s="63"/>
      <c r="C35" t="s">
        <v>11</v>
      </c>
      <c r="D35" s="51" t="s">
        <v>16</v>
      </c>
      <c r="E35" s="54">
        <v>1730</v>
      </c>
      <c r="F35" s="51" t="s">
        <v>16</v>
      </c>
      <c r="G35" s="51">
        <v>0.01</v>
      </c>
      <c r="H35" t="s">
        <v>19</v>
      </c>
      <c r="I35" s="7"/>
      <c r="J35" s="7"/>
      <c r="K35" s="8"/>
      <c r="L35" s="7"/>
      <c r="M35" s="7" t="s">
        <v>39</v>
      </c>
      <c r="N35" s="7">
        <f>N34/N31</f>
        <v>4.8855633802816906E-3</v>
      </c>
      <c r="O35" s="7"/>
      <c r="P35" s="7"/>
      <c r="Q35" s="8"/>
      <c r="R35" s="6"/>
      <c r="S35" s="7"/>
      <c r="T35" s="12" t="s">
        <v>121</v>
      </c>
      <c r="U35" s="7" t="s">
        <v>122</v>
      </c>
      <c r="V35" s="7">
        <v>890</v>
      </c>
      <c r="W35" s="7" t="s">
        <v>122</v>
      </c>
      <c r="X35" s="43" t="s">
        <v>113</v>
      </c>
      <c r="Y35" s="7"/>
      <c r="Z35" s="8"/>
      <c r="AA35" s="6"/>
      <c r="AB35" s="7"/>
      <c r="AC35" s="7"/>
      <c r="AD35" s="7"/>
      <c r="AE35" s="7"/>
      <c r="AF35" s="7"/>
      <c r="AG35" s="7"/>
      <c r="AH35" s="7"/>
      <c r="AI35" s="8"/>
    </row>
    <row r="36" spans="1:35" x14ac:dyDescent="0.2">
      <c r="A36" s="6"/>
      <c r="B36" s="63"/>
      <c r="C36" t="s">
        <v>12</v>
      </c>
      <c r="D36" s="51" t="s">
        <v>16</v>
      </c>
      <c r="E36" s="54">
        <v>1201</v>
      </c>
      <c r="F36" s="51" t="s">
        <v>16</v>
      </c>
      <c r="G36" s="51">
        <v>5.0000000000000001E-3</v>
      </c>
      <c r="I36" s="7"/>
      <c r="J36" s="7"/>
      <c r="K36" s="8"/>
      <c r="L36" s="7"/>
      <c r="M36" s="7"/>
      <c r="N36" s="7"/>
      <c r="O36" s="7"/>
      <c r="P36" s="7"/>
      <c r="Q36" s="8"/>
      <c r="R36" s="6"/>
      <c r="S36" s="7"/>
      <c r="T36" s="7"/>
      <c r="U36" s="7"/>
      <c r="V36" s="7"/>
      <c r="W36" s="7"/>
      <c r="X36" s="7"/>
      <c r="Y36" s="7"/>
      <c r="Z36" s="8"/>
      <c r="AA36" s="6"/>
      <c r="AB36" s="7"/>
      <c r="AC36" s="7"/>
      <c r="AD36" s="7"/>
      <c r="AE36" s="7"/>
      <c r="AF36" s="7"/>
      <c r="AG36" s="7"/>
      <c r="AH36" s="7"/>
      <c r="AI36" s="8"/>
    </row>
    <row r="37" spans="1:35" x14ac:dyDescent="0.2">
      <c r="A37" s="6"/>
      <c r="B37" s="63"/>
      <c r="C37" t="s">
        <v>13</v>
      </c>
      <c r="D37" s="51" t="s">
        <v>16</v>
      </c>
      <c r="E37" s="54">
        <v>1340</v>
      </c>
      <c r="F37" s="51" t="s">
        <v>16</v>
      </c>
      <c r="G37" s="51">
        <v>1E-3</v>
      </c>
      <c r="H37" t="s">
        <v>242</v>
      </c>
      <c r="I37" s="7"/>
      <c r="J37" s="7"/>
      <c r="K37" s="8"/>
      <c r="L37" s="7"/>
      <c r="M37" s="40" t="s">
        <v>239</v>
      </c>
      <c r="N37" s="12" t="s">
        <v>282</v>
      </c>
      <c r="O37" s="7"/>
      <c r="P37" s="7"/>
      <c r="Q37" s="8"/>
      <c r="R37" s="6"/>
      <c r="S37" s="7"/>
      <c r="T37" s="7"/>
      <c r="U37" s="7"/>
      <c r="V37" s="7"/>
      <c r="W37" s="7"/>
      <c r="X37" s="7"/>
      <c r="Y37" s="7"/>
      <c r="Z37" s="8"/>
      <c r="AB37" s="7"/>
      <c r="AC37" s="34"/>
      <c r="AD37" s="34"/>
      <c r="AF37" s="7"/>
      <c r="AG37" s="7"/>
      <c r="AH37" s="7"/>
      <c r="AI37" s="8"/>
    </row>
    <row r="38" spans="1:35" x14ac:dyDescent="0.2">
      <c r="A38" s="6"/>
      <c r="B38" s="63"/>
      <c r="C38" t="s">
        <v>268</v>
      </c>
      <c r="D38" s="51" t="s">
        <v>16</v>
      </c>
      <c r="E38" s="54">
        <v>1480</v>
      </c>
      <c r="F38" s="51" t="s">
        <v>16</v>
      </c>
      <c r="G38" s="51">
        <v>0</v>
      </c>
      <c r="I38" s="7"/>
      <c r="J38" s="7"/>
      <c r="K38" s="8"/>
      <c r="L38" s="7"/>
      <c r="M38" s="40" t="s">
        <v>240</v>
      </c>
      <c r="N38" s="12">
        <f>N31</f>
        <v>1136</v>
      </c>
      <c r="O38" s="7"/>
      <c r="P38" s="7"/>
      <c r="Q38" s="8"/>
      <c r="R38" s="6"/>
      <c r="S38" s="7"/>
      <c r="T38" s="7"/>
      <c r="U38" s="7"/>
      <c r="V38" s="7"/>
      <c r="W38" s="7"/>
      <c r="X38" s="7"/>
      <c r="Y38" s="7"/>
      <c r="Z38" s="8"/>
      <c r="AB38" s="7"/>
      <c r="AC38" s="34"/>
      <c r="AD38" s="34"/>
      <c r="AF38" s="7"/>
      <c r="AG38" s="7"/>
      <c r="AH38" s="7"/>
      <c r="AI38" s="8"/>
    </row>
    <row r="39" spans="1:35" ht="16" customHeight="1" x14ac:dyDescent="0.2">
      <c r="A39" s="6"/>
      <c r="B39" s="63"/>
      <c r="C39" t="s">
        <v>217</v>
      </c>
      <c r="D39" s="51" t="s">
        <v>16</v>
      </c>
      <c r="E39" s="54">
        <v>1600</v>
      </c>
      <c r="F39" s="51" t="s">
        <v>16</v>
      </c>
      <c r="G39" s="51">
        <v>1.4E-2</v>
      </c>
      <c r="I39" s="7"/>
      <c r="J39" s="7"/>
      <c r="K39" s="8"/>
      <c r="L39" s="23"/>
      <c r="M39" s="9"/>
      <c r="N39" s="9"/>
      <c r="O39" s="9"/>
      <c r="P39" s="9"/>
      <c r="Q39" s="10"/>
      <c r="R39" s="6"/>
      <c r="S39" s="7"/>
      <c r="T39" s="7"/>
      <c r="U39" s="7"/>
      <c r="V39" s="7"/>
      <c r="W39" s="7"/>
      <c r="X39" s="7"/>
      <c r="Y39" s="7"/>
      <c r="Z39" s="8"/>
      <c r="AA39" s="21" t="s">
        <v>186</v>
      </c>
      <c r="AB39" s="34">
        <v>480</v>
      </c>
      <c r="AC39" s="35" t="s">
        <v>225</v>
      </c>
      <c r="AD39" s="7"/>
      <c r="AE39" s="7"/>
      <c r="AF39" s="7"/>
      <c r="AG39" s="7"/>
      <c r="AH39" s="7"/>
      <c r="AI39" s="8"/>
    </row>
    <row r="40" spans="1:35" ht="16" customHeight="1" x14ac:dyDescent="0.2">
      <c r="A40" s="6"/>
      <c r="B40" s="63" t="s">
        <v>21</v>
      </c>
      <c r="C40" t="s">
        <v>14</v>
      </c>
      <c r="D40" s="51" t="s">
        <v>16</v>
      </c>
      <c r="E40" s="54">
        <v>2370</v>
      </c>
      <c r="F40" s="51" t="s">
        <v>16</v>
      </c>
      <c r="G40" s="51">
        <v>1.4999999999999999E-2</v>
      </c>
      <c r="I40" s="7"/>
      <c r="J40" s="7"/>
      <c r="K40" s="8"/>
      <c r="L40" s="7"/>
      <c r="M40" s="7"/>
      <c r="N40" s="7"/>
      <c r="O40" s="7"/>
      <c r="P40" s="7"/>
      <c r="Q40" s="8"/>
      <c r="R40" s="26"/>
      <c r="S40" s="4"/>
      <c r="T40" s="4"/>
      <c r="U40" s="4"/>
      <c r="V40" s="5"/>
      <c r="W40" s="4"/>
      <c r="X40" s="4"/>
      <c r="Y40" s="4"/>
      <c r="Z40" s="5"/>
      <c r="AA40" s="21" t="s">
        <v>223</v>
      </c>
      <c r="AB40" s="7">
        <v>241</v>
      </c>
      <c r="AC40" s="7" t="s">
        <v>224</v>
      </c>
      <c r="AD40" s="7"/>
      <c r="AE40" s="7"/>
      <c r="AF40" s="7"/>
      <c r="AG40" s="7"/>
      <c r="AH40" s="7"/>
      <c r="AI40" s="8"/>
    </row>
    <row r="41" spans="1:35" ht="19" x14ac:dyDescent="0.25">
      <c r="A41" s="6"/>
      <c r="B41" s="63"/>
      <c r="C41" t="s">
        <v>15</v>
      </c>
      <c r="D41" s="51" t="s">
        <v>16</v>
      </c>
      <c r="E41" s="54">
        <v>890</v>
      </c>
      <c r="F41" s="51" t="s">
        <v>16</v>
      </c>
      <c r="G41" s="51">
        <v>1.6E-2</v>
      </c>
      <c r="I41" s="7"/>
      <c r="J41" s="7"/>
      <c r="K41" s="8"/>
      <c r="L41" s="24" t="s">
        <v>180</v>
      </c>
      <c r="M41" s="7"/>
      <c r="N41" s="7"/>
      <c r="O41" s="7"/>
      <c r="P41" s="7"/>
      <c r="Q41" s="8"/>
      <c r="R41" s="37" t="s">
        <v>188</v>
      </c>
      <c r="S41" s="7"/>
      <c r="T41" s="7"/>
      <c r="U41" s="7"/>
      <c r="V41" s="8"/>
      <c r="Z41" s="8"/>
      <c r="AA41" s="6"/>
      <c r="AB41" s="7"/>
      <c r="AC41" s="7"/>
      <c r="AD41" s="7"/>
      <c r="AE41" s="7"/>
      <c r="AF41" s="7"/>
      <c r="AG41" s="7"/>
      <c r="AH41" s="7"/>
      <c r="AI41" s="8"/>
    </row>
    <row r="42" spans="1:35" x14ac:dyDescent="0.2">
      <c r="A42" s="6"/>
      <c r="B42" s="63"/>
      <c r="C42" t="s">
        <v>279</v>
      </c>
      <c r="D42" s="51" t="s">
        <v>16</v>
      </c>
      <c r="E42" s="54">
        <v>1201</v>
      </c>
      <c r="F42" s="51" t="s">
        <v>16</v>
      </c>
      <c r="G42" s="51">
        <v>3.2000000000000001E-2</v>
      </c>
      <c r="H42" t="s">
        <v>171</v>
      </c>
      <c r="I42" s="7"/>
      <c r="J42" s="7"/>
      <c r="K42" s="8"/>
      <c r="L42" s="7"/>
      <c r="M42" s="12" t="s">
        <v>86</v>
      </c>
      <c r="N42" s="12">
        <v>12.9</v>
      </c>
      <c r="O42" s="32" t="s">
        <v>181</v>
      </c>
      <c r="P42" s="7"/>
      <c r="Q42" s="8"/>
      <c r="R42" s="52"/>
      <c r="S42" s="52" t="s">
        <v>193</v>
      </c>
      <c r="T42" s="28" t="s">
        <v>194</v>
      </c>
      <c r="U42" s="7"/>
      <c r="V42" s="8"/>
      <c r="Z42" s="8"/>
      <c r="AA42" s="6"/>
      <c r="AB42" s="7"/>
      <c r="AC42" s="7"/>
      <c r="AD42" s="7"/>
      <c r="AE42" s="7"/>
      <c r="AF42" s="7"/>
      <c r="AG42" s="7"/>
      <c r="AH42" s="7"/>
      <c r="AI42" s="8"/>
    </row>
    <row r="43" spans="1:35" x14ac:dyDescent="0.2">
      <c r="A43" s="6"/>
      <c r="B43" s="63"/>
      <c r="C43" t="s">
        <v>280</v>
      </c>
      <c r="D43" s="51" t="s">
        <v>16</v>
      </c>
      <c r="E43" s="54">
        <v>830</v>
      </c>
      <c r="F43" s="51" t="s">
        <v>16</v>
      </c>
      <c r="G43" s="51">
        <v>0.06</v>
      </c>
      <c r="I43" s="7"/>
      <c r="J43" s="7"/>
      <c r="K43" s="8"/>
      <c r="L43" s="7"/>
      <c r="M43" s="12" t="s">
        <v>85</v>
      </c>
      <c r="N43" s="12">
        <v>1.29</v>
      </c>
      <c r="O43" s="7"/>
      <c r="P43" s="7"/>
      <c r="Q43" s="8"/>
      <c r="R43" s="38" t="s">
        <v>189</v>
      </c>
      <c r="S43" s="28" t="s">
        <v>190</v>
      </c>
      <c r="T43" s="28" t="s">
        <v>195</v>
      </c>
      <c r="U43" s="7"/>
      <c r="V43" s="8"/>
      <c r="Z43" s="8"/>
      <c r="AA43" s="6"/>
      <c r="AB43" s="7"/>
      <c r="AC43" s="7"/>
      <c r="AD43" s="7"/>
      <c r="AE43" s="7"/>
      <c r="AF43" s="7"/>
      <c r="AG43" s="7"/>
      <c r="AH43" s="7"/>
      <c r="AI43" s="8"/>
    </row>
    <row r="44" spans="1:35" x14ac:dyDescent="0.2">
      <c r="A44" s="6"/>
      <c r="F44" s="29" t="s">
        <v>208</v>
      </c>
      <c r="G44" s="42">
        <f>SUM(G25:G28)</f>
        <v>1.0819999999999999</v>
      </c>
      <c r="I44" s="7"/>
      <c r="J44" s="7"/>
      <c r="K44" s="8"/>
      <c r="L44" s="7"/>
      <c r="M44" s="12" t="s">
        <v>79</v>
      </c>
      <c r="N44" s="12">
        <v>20</v>
      </c>
      <c r="O44" s="7"/>
      <c r="P44" s="7"/>
      <c r="Q44" s="8"/>
      <c r="R44" s="38" t="s">
        <v>191</v>
      </c>
      <c r="S44" s="28" t="s">
        <v>192</v>
      </c>
      <c r="T44" s="28" t="s">
        <v>196</v>
      </c>
      <c r="U44" s="7"/>
      <c r="V44" s="8"/>
      <c r="Z44" s="8"/>
      <c r="AA44" s="6"/>
      <c r="AB44" s="7"/>
      <c r="AC44" s="7"/>
      <c r="AD44" s="7"/>
      <c r="AE44" s="7"/>
      <c r="AF44" s="7"/>
      <c r="AG44" s="7"/>
      <c r="AH44" s="7"/>
      <c r="AI44" s="8"/>
    </row>
    <row r="45" spans="1:35" x14ac:dyDescent="0.2">
      <c r="A45" s="23"/>
      <c r="B45" s="9"/>
      <c r="C45" s="9"/>
      <c r="D45" s="9"/>
      <c r="E45" s="9"/>
      <c r="F45" s="9"/>
      <c r="G45" s="9"/>
      <c r="H45" s="9"/>
      <c r="I45" s="9"/>
      <c r="J45" s="9"/>
      <c r="K45" s="10"/>
      <c r="L45" s="9"/>
      <c r="M45" s="9"/>
      <c r="N45" s="9"/>
      <c r="O45" s="9"/>
      <c r="P45" s="9"/>
      <c r="Q45" s="10"/>
      <c r="R45" s="23"/>
      <c r="S45" s="9"/>
      <c r="T45" s="9"/>
      <c r="U45" s="9"/>
      <c r="V45" s="10"/>
      <c r="W45" s="9"/>
      <c r="X45" s="9"/>
      <c r="Y45" s="9"/>
      <c r="Z45" s="10"/>
      <c r="AA45" s="23"/>
      <c r="AB45" s="9"/>
      <c r="AC45" s="9"/>
      <c r="AD45" s="9"/>
      <c r="AE45" s="9"/>
      <c r="AF45" s="9"/>
      <c r="AG45" s="9"/>
      <c r="AH45" s="9"/>
      <c r="AI45" s="10"/>
    </row>
    <row r="46" spans="1:35" x14ac:dyDescent="0.2">
      <c r="K46" s="5"/>
      <c r="Q46" s="5"/>
      <c r="V46" s="5"/>
      <c r="Z46" s="5"/>
      <c r="AA46" s="26"/>
      <c r="AB46" s="4"/>
      <c r="AC46" s="4"/>
      <c r="AD46" s="4"/>
      <c r="AE46" s="4"/>
      <c r="AF46" s="4"/>
      <c r="AG46" s="4"/>
      <c r="AH46" s="4"/>
      <c r="AI46" s="5"/>
    </row>
    <row r="47" spans="1:35" ht="19" x14ac:dyDescent="0.25">
      <c r="A47" s="1" t="s">
        <v>173</v>
      </c>
      <c r="K47" s="8"/>
      <c r="L47" s="1" t="s">
        <v>175</v>
      </c>
      <c r="Q47" s="8"/>
      <c r="R47" s="1" t="s">
        <v>182</v>
      </c>
      <c r="T47" s="29" t="s">
        <v>197</v>
      </c>
      <c r="U47" s="3">
        <f>SUM(T58,T70,T82)</f>
        <v>85.199999999999989</v>
      </c>
      <c r="V47" s="8"/>
      <c r="W47" s="1" t="s">
        <v>75</v>
      </c>
      <c r="Z47" s="8"/>
      <c r="AA47" s="44" t="s">
        <v>185</v>
      </c>
      <c r="AB47" s="7"/>
      <c r="AC47" s="7"/>
      <c r="AD47" s="7"/>
      <c r="AE47" s="7"/>
      <c r="AF47" s="7"/>
      <c r="AG47" s="7"/>
      <c r="AH47" s="7"/>
      <c r="AI47" s="8"/>
    </row>
    <row r="48" spans="1:35" x14ac:dyDescent="0.2">
      <c r="B48" s="3" t="s">
        <v>5</v>
      </c>
      <c r="D48" s="29" t="s">
        <v>174</v>
      </c>
      <c r="E48" s="3">
        <f>SUM(D54,G50)</f>
        <v>97.017834415944108</v>
      </c>
      <c r="K48" s="8"/>
      <c r="L48" s="29" t="s">
        <v>66</v>
      </c>
      <c r="Q48" s="8"/>
      <c r="R48" s="3" t="s">
        <v>78</v>
      </c>
      <c r="V48" s="8"/>
      <c r="X48" t="s">
        <v>219</v>
      </c>
      <c r="Y48">
        <f>(100000/19422.03)*100</f>
        <v>514.87923764920561</v>
      </c>
      <c r="Z48" s="8" t="s">
        <v>287</v>
      </c>
      <c r="AA48" s="6"/>
      <c r="AB48" s="7"/>
      <c r="AC48" s="7"/>
      <c r="AD48" s="7"/>
      <c r="AE48" s="7"/>
      <c r="AF48" s="7"/>
      <c r="AG48" s="7"/>
      <c r="AH48" s="7"/>
      <c r="AI48" s="8"/>
    </row>
    <row r="49" spans="1:35" x14ac:dyDescent="0.2">
      <c r="C49" t="s">
        <v>22</v>
      </c>
      <c r="D49">
        <f>N25*G25</f>
        <v>260931.20000000001</v>
      </c>
      <c r="F49" t="s">
        <v>206</v>
      </c>
      <c r="G49">
        <v>0.3</v>
      </c>
      <c r="K49" s="8"/>
      <c r="M49" t="s">
        <v>67</v>
      </c>
      <c r="N49">
        <f>N25*G34</f>
        <v>8154.1</v>
      </c>
      <c r="Q49" s="8"/>
      <c r="V49" s="8"/>
      <c r="X49" t="s">
        <v>76</v>
      </c>
      <c r="Y49">
        <f>Y48/100/100</f>
        <v>5.1487923764920562E-2</v>
      </c>
      <c r="Z49" s="8"/>
      <c r="AA49" s="6"/>
      <c r="AB49" s="12" t="s">
        <v>5</v>
      </c>
      <c r="AC49" s="7"/>
      <c r="AD49" s="7"/>
      <c r="AE49" s="7"/>
      <c r="AF49" s="7"/>
      <c r="AG49" s="7"/>
      <c r="AH49" s="7"/>
      <c r="AI49" s="8"/>
    </row>
    <row r="50" spans="1:35" x14ac:dyDescent="0.2">
      <c r="C50" t="s">
        <v>23</v>
      </c>
      <c r="D50">
        <v>0.02</v>
      </c>
      <c r="E50" s="16" t="s">
        <v>41</v>
      </c>
      <c r="F50" t="s">
        <v>207</v>
      </c>
      <c r="G50" s="18">
        <f>G49*D54</f>
        <v>22.388731019064025</v>
      </c>
      <c r="K50" s="8"/>
      <c r="M50" t="s">
        <v>48</v>
      </c>
      <c r="N50">
        <f>N49/E34</f>
        <v>3.4405485232067514</v>
      </c>
      <c r="Q50" s="8"/>
      <c r="S50" t="s">
        <v>204</v>
      </c>
      <c r="T50">
        <v>8</v>
      </c>
      <c r="U50" t="s">
        <v>286</v>
      </c>
      <c r="V50" s="8"/>
      <c r="X50" t="s">
        <v>77</v>
      </c>
      <c r="Y50">
        <f>1/Y49</f>
        <v>19.422029999999999</v>
      </c>
      <c r="Z50" s="8"/>
      <c r="AA50" s="6"/>
      <c r="AB50" s="7"/>
      <c r="AC50" s="7" t="s">
        <v>119</v>
      </c>
      <c r="AD50" s="13">
        <f>650*10000</f>
        <v>6500000</v>
      </c>
      <c r="AE50" s="7"/>
      <c r="AF50" s="7"/>
      <c r="AG50" s="7"/>
      <c r="AH50" s="7"/>
      <c r="AI50" s="8"/>
    </row>
    <row r="51" spans="1:35" x14ac:dyDescent="0.2">
      <c r="C51" t="s">
        <v>24</v>
      </c>
      <c r="D51">
        <v>0.3</v>
      </c>
      <c r="K51" s="8"/>
      <c r="M51" t="s">
        <v>68</v>
      </c>
      <c r="N51">
        <f>N50/X25/T24</f>
        <v>0.34439925157224738</v>
      </c>
      <c r="Q51" s="8"/>
      <c r="S51" t="s">
        <v>205</v>
      </c>
      <c r="T51">
        <f>T50*1000</f>
        <v>8000</v>
      </c>
      <c r="U51" t="s">
        <v>178</v>
      </c>
      <c r="V51" s="8"/>
      <c r="X51" t="s">
        <v>221</v>
      </c>
      <c r="Y51">
        <f>SUM(G40:G42)</f>
        <v>6.3E-2</v>
      </c>
      <c r="Z51" s="8"/>
      <c r="AA51" s="6"/>
      <c r="AB51" s="7"/>
      <c r="AC51" s="7" t="s">
        <v>111</v>
      </c>
      <c r="AD51">
        <v>0.79600000000000004</v>
      </c>
      <c r="AE51" s="7" t="s">
        <v>178</v>
      </c>
      <c r="AF51" s="7"/>
      <c r="AG51" s="7"/>
      <c r="AH51" s="7"/>
      <c r="AI51" s="8"/>
    </row>
    <row r="52" spans="1:35" x14ac:dyDescent="0.2">
      <c r="C52" t="s">
        <v>25</v>
      </c>
      <c r="D52" s="18">
        <f>F25*(1-(SUM(D50:D51)))</f>
        <v>3971879.9999999995</v>
      </c>
      <c r="K52" s="8"/>
      <c r="M52" t="s">
        <v>69</v>
      </c>
      <c r="N52">
        <f>(70*(N51*T24)^0.75)*365</f>
        <v>199570.77280099536</v>
      </c>
      <c r="Q52" s="8"/>
      <c r="S52" t="s">
        <v>203</v>
      </c>
      <c r="T52">
        <f>T51/N44</f>
        <v>400</v>
      </c>
      <c r="V52" s="8"/>
      <c r="X52" s="3" t="s">
        <v>220</v>
      </c>
      <c r="Y52" s="3">
        <f>Y51*Y50*N38</f>
        <v>1389.99584304</v>
      </c>
      <c r="Z52" s="8"/>
      <c r="AA52" s="6"/>
      <c r="AB52" s="7"/>
      <c r="AC52" s="7" t="s">
        <v>112</v>
      </c>
      <c r="AD52">
        <v>0.1</v>
      </c>
      <c r="AE52" s="7" t="s">
        <v>113</v>
      </c>
      <c r="AF52" s="7"/>
      <c r="AG52" s="7"/>
      <c r="AH52" s="7"/>
      <c r="AI52" s="8"/>
    </row>
    <row r="53" spans="1:35" x14ac:dyDescent="0.2">
      <c r="C53" t="s">
        <v>26</v>
      </c>
      <c r="D53" s="18">
        <f>D49/D52</f>
        <v>6.5694633271901476E-2</v>
      </c>
      <c r="K53" s="8"/>
      <c r="M53" t="s">
        <v>124</v>
      </c>
      <c r="N53">
        <v>0.9</v>
      </c>
      <c r="O53" s="60">
        <f>SUM(N53:N54)</f>
        <v>1</v>
      </c>
      <c r="Q53" s="8"/>
      <c r="S53" t="s">
        <v>202</v>
      </c>
      <c r="T53">
        <v>551</v>
      </c>
      <c r="V53" s="8"/>
      <c r="Z53" s="8"/>
      <c r="AA53" s="6"/>
      <c r="AB53" s="7"/>
      <c r="AC53" s="7" t="s">
        <v>198</v>
      </c>
      <c r="AD53">
        <f>(AD50)*AD51*(1-AD52)/0.45</f>
        <v>10348000</v>
      </c>
      <c r="AE53" s="7" t="s">
        <v>199</v>
      </c>
      <c r="AF53" s="7"/>
      <c r="AG53" s="7"/>
      <c r="AH53" s="7"/>
      <c r="AI53" s="8"/>
    </row>
    <row r="54" spans="1:35" x14ac:dyDescent="0.2">
      <c r="C54" t="s">
        <v>27</v>
      </c>
      <c r="D54" s="18">
        <f>D53*N38</f>
        <v>74.629103396880083</v>
      </c>
      <c r="K54" s="8"/>
      <c r="M54" t="s">
        <v>70</v>
      </c>
      <c r="N54">
        <v>0.1</v>
      </c>
      <c r="O54" s="60"/>
      <c r="Q54" s="8"/>
      <c r="S54" t="s">
        <v>80</v>
      </c>
      <c r="T54">
        <f>T53*N44/1000</f>
        <v>11.02</v>
      </c>
      <c r="V54" s="8"/>
      <c r="W54" s="23"/>
      <c r="X54" s="9"/>
      <c r="Y54" s="9"/>
      <c r="Z54" s="10"/>
      <c r="AA54" s="6"/>
      <c r="AB54" s="7"/>
      <c r="AC54" s="7" t="s">
        <v>114</v>
      </c>
      <c r="AD54">
        <v>0.23</v>
      </c>
      <c r="AE54" s="7"/>
      <c r="AF54" s="7"/>
      <c r="AG54" s="7"/>
      <c r="AH54" s="7"/>
      <c r="AI54" s="8"/>
    </row>
    <row r="55" spans="1:35" x14ac:dyDescent="0.2">
      <c r="A55" s="9"/>
      <c r="B55" s="9"/>
      <c r="C55" s="9"/>
      <c r="D55" s="9"/>
      <c r="E55" s="9"/>
      <c r="F55" s="9"/>
      <c r="G55" s="9"/>
      <c r="H55" s="9"/>
      <c r="I55" s="9"/>
      <c r="J55" s="9"/>
      <c r="K55" s="10"/>
      <c r="Q55" s="8"/>
      <c r="S55" t="s">
        <v>81</v>
      </c>
      <c r="T55">
        <f>AVERAGE(T52,T53)</f>
        <v>475.5</v>
      </c>
      <c r="V55" s="8"/>
      <c r="Z55" s="8"/>
      <c r="AA55" s="6"/>
      <c r="AB55" s="7"/>
      <c r="AC55" s="7" t="s">
        <v>200</v>
      </c>
      <c r="AD55" s="17">
        <f>AD53*(1-AD54)*(D53)</f>
        <v>523452.21012518008</v>
      </c>
      <c r="AE55" s="7"/>
      <c r="AF55" s="7"/>
      <c r="AG55" s="7"/>
      <c r="AH55" s="7"/>
      <c r="AI55" s="8"/>
    </row>
    <row r="56" spans="1:35" x14ac:dyDescent="0.2">
      <c r="K56" s="8"/>
      <c r="M56" t="s">
        <v>71</v>
      </c>
      <c r="N56">
        <f>(N54*N52)/W33</f>
        <v>5.341169609138146E-2</v>
      </c>
      <c r="Q56" s="8"/>
      <c r="S56" t="s">
        <v>82</v>
      </c>
      <c r="T56">
        <f>T55*N38</f>
        <v>540168</v>
      </c>
      <c r="V56" s="8"/>
      <c r="Z56" s="8"/>
      <c r="AA56" s="6"/>
      <c r="AB56" s="7"/>
      <c r="AC56" s="7" t="s">
        <v>201</v>
      </c>
      <c r="AD56">
        <f>AD55*N31</f>
        <v>594641710.70220459</v>
      </c>
      <c r="AE56" s="7"/>
      <c r="AF56" s="7"/>
      <c r="AG56" s="7"/>
      <c r="AH56" s="7"/>
      <c r="AI56" s="8"/>
    </row>
    <row r="57" spans="1:35" ht="19" x14ac:dyDescent="0.25">
      <c r="B57" s="3" t="s">
        <v>107</v>
      </c>
      <c r="D57" s="3" t="s">
        <v>43</v>
      </c>
      <c r="E57" s="53">
        <f>D64+(D72-G69)+(D80-G77)+G64+(D88+G83)</f>
        <v>211.61933588226123</v>
      </c>
      <c r="K57" s="8"/>
      <c r="M57" t="s">
        <v>72</v>
      </c>
      <c r="N57">
        <f>SUM(N55:N56)</f>
        <v>5.341169609138146E-2</v>
      </c>
      <c r="Q57" s="8"/>
      <c r="S57" t="s">
        <v>83</v>
      </c>
      <c r="T57">
        <f>T56/N43</f>
        <v>418734.8837209302</v>
      </c>
      <c r="V57" s="8"/>
      <c r="W57" s="27"/>
      <c r="Z57" s="8"/>
      <c r="AA57" s="6"/>
      <c r="AB57" s="7"/>
      <c r="AC57" s="7"/>
      <c r="AD57" s="7"/>
      <c r="AE57" s="7"/>
      <c r="AF57" s="7"/>
      <c r="AG57" s="7"/>
      <c r="AH57" s="7"/>
      <c r="AI57" s="8"/>
    </row>
    <row r="58" spans="1:35" x14ac:dyDescent="0.2">
      <c r="C58" s="3" t="s">
        <v>318</v>
      </c>
      <c r="K58" s="8"/>
      <c r="M58" s="3" t="s">
        <v>73</v>
      </c>
      <c r="N58" s="3">
        <f>N57*N31</f>
        <v>60.675686759809338</v>
      </c>
      <c r="Q58" s="8"/>
      <c r="S58" t="s">
        <v>84</v>
      </c>
      <c r="T58">
        <f>T57/10000</f>
        <v>41.873488372093021</v>
      </c>
      <c r="V58" s="8"/>
      <c r="X58" s="7"/>
      <c r="Y58" s="7"/>
      <c r="Z58" s="8"/>
      <c r="AA58" s="6"/>
      <c r="AB58" s="12" t="s">
        <v>116</v>
      </c>
      <c r="AC58" s="7"/>
      <c r="AD58" s="7"/>
      <c r="AE58" s="7"/>
      <c r="AF58" s="7"/>
      <c r="AG58" s="7"/>
      <c r="AH58" s="7"/>
      <c r="AI58" s="8"/>
    </row>
    <row r="59" spans="1:35" x14ac:dyDescent="0.2">
      <c r="C59" t="s">
        <v>22</v>
      </c>
      <c r="D59">
        <f>G28*N25</f>
        <v>301701.7</v>
      </c>
      <c r="F59" t="s">
        <v>210</v>
      </c>
      <c r="K59" s="8"/>
      <c r="M59" s="3" t="s">
        <v>74</v>
      </c>
      <c r="N59" s="3">
        <f>N51*N31</f>
        <v>391.23754978607303</v>
      </c>
      <c r="Q59" s="8"/>
      <c r="V59" s="8"/>
      <c r="X59" s="39"/>
      <c r="Y59" s="7"/>
      <c r="Z59" s="8"/>
      <c r="AA59" s="6"/>
      <c r="AB59" s="7"/>
      <c r="AC59" s="7" t="s">
        <v>110</v>
      </c>
      <c r="AD59" s="13">
        <f>650*10000</f>
        <v>6500000</v>
      </c>
      <c r="AE59" s="7"/>
      <c r="AF59" s="7"/>
      <c r="AH59" s="7"/>
      <c r="AI59" s="8"/>
    </row>
    <row r="60" spans="1:35" x14ac:dyDescent="0.2">
      <c r="C60" t="s">
        <v>23</v>
      </c>
      <c r="D60">
        <v>0.1</v>
      </c>
      <c r="F60" t="s">
        <v>42</v>
      </c>
      <c r="G60">
        <v>0.1</v>
      </c>
      <c r="K60" s="8"/>
      <c r="M60" s="3" t="s">
        <v>123</v>
      </c>
      <c r="N60" s="3">
        <f>N59*(N52/N51)</f>
        <v>226712397.90193072</v>
      </c>
      <c r="Q60" s="8"/>
      <c r="V60" s="8"/>
      <c r="W60" s="7"/>
      <c r="X60" s="7"/>
      <c r="Y60" s="7"/>
      <c r="Z60" s="8"/>
      <c r="AA60" s="6"/>
      <c r="AB60" s="7"/>
      <c r="AC60" s="7" t="s">
        <v>111</v>
      </c>
      <c r="AD60" s="7">
        <v>0.6</v>
      </c>
      <c r="AE60" t="s">
        <v>231</v>
      </c>
      <c r="AF60" s="7"/>
      <c r="AG60" s="7"/>
      <c r="AH60" s="7"/>
      <c r="AI60" s="8"/>
    </row>
    <row r="61" spans="1:35" x14ac:dyDescent="0.2">
      <c r="C61" t="s">
        <v>24</v>
      </c>
      <c r="D61">
        <v>0.3</v>
      </c>
      <c r="F61" t="s">
        <v>6</v>
      </c>
      <c r="G61">
        <v>0</v>
      </c>
      <c r="K61" s="8"/>
      <c r="Q61" s="8"/>
      <c r="R61" s="3" t="s">
        <v>94</v>
      </c>
      <c r="V61" s="8"/>
      <c r="X61" s="55"/>
      <c r="Y61" s="45"/>
      <c r="Z61" s="8"/>
      <c r="AA61" s="6"/>
      <c r="AB61" s="7"/>
      <c r="AC61" s="7" t="s">
        <v>112</v>
      </c>
      <c r="AD61" s="7">
        <v>0.1</v>
      </c>
      <c r="AF61" s="7"/>
      <c r="AG61" s="7"/>
      <c r="AH61" s="7"/>
      <c r="AI61" s="8"/>
    </row>
    <row r="62" spans="1:35" x14ac:dyDescent="0.2">
      <c r="C62" t="s">
        <v>25</v>
      </c>
      <c r="D62" s="18">
        <f>F28*(1-(D60+D61))</f>
        <v>2850000</v>
      </c>
      <c r="F62" t="s">
        <v>247</v>
      </c>
      <c r="G62">
        <v>0</v>
      </c>
      <c r="K62" s="8"/>
      <c r="Q62" s="8"/>
      <c r="S62" t="s">
        <v>95</v>
      </c>
      <c r="T62">
        <v>30</v>
      </c>
      <c r="U62" s="16" t="s">
        <v>178</v>
      </c>
      <c r="V62" s="8"/>
      <c r="X62" s="40"/>
      <c r="Y62" s="3"/>
      <c r="Z62" s="8"/>
      <c r="AA62" s="6"/>
      <c r="AB62" s="7"/>
      <c r="AC62" s="7" t="s">
        <v>118</v>
      </c>
      <c r="AD62">
        <f>(AD59)*AD60*(1-AD61)/0.45</f>
        <v>7800000</v>
      </c>
      <c r="AF62" s="7"/>
      <c r="AG62" s="7"/>
      <c r="AH62" s="7"/>
      <c r="AI62" s="8"/>
    </row>
    <row r="63" spans="1:35" x14ac:dyDescent="0.2">
      <c r="C63" t="s">
        <v>26</v>
      </c>
      <c r="D63" s="18">
        <f>D59/D62</f>
        <v>0.10586024561403509</v>
      </c>
      <c r="F63" t="s">
        <v>281</v>
      </c>
      <c r="G63">
        <v>0.1</v>
      </c>
      <c r="K63" s="8"/>
      <c r="Q63" s="8"/>
      <c r="S63" t="s">
        <v>96</v>
      </c>
      <c r="T63">
        <v>1.5</v>
      </c>
      <c r="U63" s="45" t="s">
        <v>250</v>
      </c>
      <c r="V63" s="8"/>
      <c r="X63" s="11"/>
      <c r="Z63" s="8"/>
      <c r="AA63" s="6"/>
      <c r="AB63" s="7"/>
      <c r="AC63" s="7" t="s">
        <v>114</v>
      </c>
      <c r="AD63" s="7">
        <v>0.5</v>
      </c>
      <c r="AE63" t="s">
        <v>232</v>
      </c>
      <c r="AF63" s="7"/>
      <c r="AG63" s="7"/>
      <c r="AH63" s="7"/>
      <c r="AI63" s="8"/>
    </row>
    <row r="64" spans="1:35" x14ac:dyDescent="0.2">
      <c r="C64" t="s">
        <v>27</v>
      </c>
      <c r="D64" s="18">
        <f>D63*N38</f>
        <v>120.25723901754387</v>
      </c>
      <c r="F64" t="s">
        <v>207</v>
      </c>
      <c r="G64" s="18">
        <f>G60*D64</f>
        <v>12.025723901754388</v>
      </c>
      <c r="K64" s="8"/>
      <c r="L64" s="29" t="s">
        <v>176</v>
      </c>
      <c r="Q64" s="8"/>
      <c r="S64" t="s">
        <v>97</v>
      </c>
      <c r="T64">
        <f>T63*T62</f>
        <v>45</v>
      </c>
      <c r="U64" s="16"/>
      <c r="V64" s="8"/>
      <c r="Z64" s="8"/>
      <c r="AA64" s="6"/>
      <c r="AB64" s="7"/>
      <c r="AC64" s="7" t="s">
        <v>115</v>
      </c>
      <c r="AD64" s="17">
        <f>AD62*(1-AD63)*D63</f>
        <v>412854.95789473684</v>
      </c>
      <c r="AE64" s="7"/>
      <c r="AF64" s="7"/>
      <c r="AG64" s="7"/>
      <c r="AH64" s="7"/>
      <c r="AI64" s="8"/>
    </row>
    <row r="65" spans="3:35" x14ac:dyDescent="0.2">
      <c r="K65" s="8"/>
      <c r="L65" s="30"/>
      <c r="M65" t="s">
        <v>51</v>
      </c>
      <c r="N65">
        <f>N25*G37</f>
        <v>815.41</v>
      </c>
      <c r="Q65" s="8"/>
      <c r="S65" t="s">
        <v>98</v>
      </c>
      <c r="T65">
        <v>2</v>
      </c>
      <c r="U65" s="16" t="s">
        <v>178</v>
      </c>
      <c r="V65" s="8"/>
      <c r="Z65" s="8"/>
      <c r="AA65" s="6"/>
      <c r="AB65" s="7"/>
      <c r="AC65" s="7" t="s">
        <v>117</v>
      </c>
      <c r="AD65" s="7">
        <f>AD64*N31</f>
        <v>469003232.16842103</v>
      </c>
      <c r="AE65" s="7"/>
      <c r="AF65" s="7"/>
      <c r="AG65" s="7"/>
      <c r="AH65" s="7"/>
      <c r="AI65" s="8"/>
    </row>
    <row r="66" spans="3:35" x14ac:dyDescent="0.2">
      <c r="C66" s="3" t="s">
        <v>312</v>
      </c>
      <c r="K66" s="8"/>
      <c r="M66" t="s">
        <v>48</v>
      </c>
      <c r="N66">
        <f>N65/E37</f>
        <v>0.60851492537313434</v>
      </c>
      <c r="Q66" s="8"/>
      <c r="S66" t="s">
        <v>89</v>
      </c>
      <c r="T66">
        <v>4</v>
      </c>
      <c r="V66" s="8"/>
      <c r="Z66" s="8"/>
      <c r="AA66" s="6"/>
      <c r="AB66" s="7"/>
      <c r="AC66" s="7"/>
      <c r="AD66" s="7"/>
      <c r="AE66" s="7"/>
      <c r="AF66" s="7"/>
      <c r="AG66" s="7"/>
      <c r="AH66" s="7"/>
      <c r="AI66" s="8"/>
    </row>
    <row r="67" spans="3:35" ht="16" customHeight="1" x14ac:dyDescent="0.2">
      <c r="C67" t="s">
        <v>22</v>
      </c>
      <c r="D67">
        <f>G27*N25</f>
        <v>17939.02</v>
      </c>
      <c r="F67" s="59" t="s">
        <v>245</v>
      </c>
      <c r="G67" s="62">
        <v>1</v>
      </c>
      <c r="K67" s="8"/>
      <c r="M67" t="s">
        <v>54</v>
      </c>
      <c r="N67">
        <f>N66/X24/T25</f>
        <v>1.8962995031821347E-2</v>
      </c>
      <c r="Q67" s="8"/>
      <c r="S67" t="s">
        <v>99</v>
      </c>
      <c r="T67">
        <f>T66*T65*T64</f>
        <v>360</v>
      </c>
      <c r="V67" s="8"/>
      <c r="Z67" s="8"/>
      <c r="AA67" s="6"/>
      <c r="AB67" s="12" t="s">
        <v>120</v>
      </c>
      <c r="AC67" s="7"/>
      <c r="AD67" s="7"/>
      <c r="AE67" s="7"/>
      <c r="AF67" s="7"/>
      <c r="AG67" s="7"/>
      <c r="AH67" s="7"/>
      <c r="AI67" s="8"/>
    </row>
    <row r="68" spans="3:35" x14ac:dyDescent="0.2">
      <c r="C68" t="s">
        <v>23</v>
      </c>
      <c r="D68">
        <v>0.1</v>
      </c>
      <c r="F68" s="59"/>
      <c r="G68" s="62"/>
      <c r="K68" s="8"/>
      <c r="M68" t="s">
        <v>55</v>
      </c>
      <c r="N68">
        <f>(70*(N67*T25)^0.75)*365</f>
        <v>124576.45546570697</v>
      </c>
      <c r="Q68" s="8"/>
      <c r="S68" t="s">
        <v>100</v>
      </c>
      <c r="T68">
        <f>T67*N44/1000</f>
        <v>7.2</v>
      </c>
      <c r="V68" s="8"/>
      <c r="Z68" s="8"/>
      <c r="AA68" s="6"/>
      <c r="AB68" s="7"/>
      <c r="AC68" s="7" t="s">
        <v>110</v>
      </c>
      <c r="AD68" s="13">
        <f>650*10000</f>
        <v>6500000</v>
      </c>
      <c r="AE68" s="7"/>
      <c r="AF68" s="7"/>
      <c r="AG68" s="7" t="s">
        <v>222</v>
      </c>
      <c r="AH68" s="7"/>
      <c r="AI68" s="8"/>
    </row>
    <row r="69" spans="3:35" x14ac:dyDescent="0.2">
      <c r="C69" t="s">
        <v>24</v>
      </c>
      <c r="D69">
        <v>0.3</v>
      </c>
      <c r="F69" s="3" t="s">
        <v>246</v>
      </c>
      <c r="G69" s="3">
        <f>G67*D72</f>
        <v>15.299344384384385</v>
      </c>
      <c r="K69" s="8"/>
      <c r="M69" t="s">
        <v>258</v>
      </c>
      <c r="N69">
        <v>0.6</v>
      </c>
      <c r="O69" s="60">
        <f>SUM(N69:N71)</f>
        <v>1</v>
      </c>
      <c r="P69" t="s">
        <v>241</v>
      </c>
      <c r="Q69" s="8"/>
      <c r="S69" t="s">
        <v>101</v>
      </c>
      <c r="T69">
        <f>T67*N38</f>
        <v>408960</v>
      </c>
      <c r="V69" s="8"/>
      <c r="Z69" s="8"/>
      <c r="AA69" s="6"/>
      <c r="AB69" s="7"/>
      <c r="AC69" s="7" t="s">
        <v>111</v>
      </c>
      <c r="AD69" s="7">
        <v>0.59</v>
      </c>
      <c r="AE69" s="7" t="s">
        <v>226</v>
      </c>
      <c r="AF69" s="7"/>
      <c r="AG69" s="7"/>
      <c r="AH69" s="7"/>
      <c r="AI69" s="8"/>
    </row>
    <row r="70" spans="3:35" x14ac:dyDescent="0.2">
      <c r="C70" t="s">
        <v>25</v>
      </c>
      <c r="D70" s="18">
        <f>F27*(1-SUM(D68:D69))</f>
        <v>1332000</v>
      </c>
      <c r="K70" s="8"/>
      <c r="M70" t="s">
        <v>259</v>
      </c>
      <c r="N70">
        <v>0.1</v>
      </c>
      <c r="O70" s="60"/>
      <c r="Q70" s="8"/>
      <c r="S70" t="s">
        <v>102</v>
      </c>
      <c r="T70">
        <v>0</v>
      </c>
      <c r="U70" t="s">
        <v>209</v>
      </c>
      <c r="V70" s="8"/>
      <c r="Z70" s="8"/>
      <c r="AA70" s="6"/>
      <c r="AB70" s="7"/>
      <c r="AC70" s="7" t="s">
        <v>112</v>
      </c>
      <c r="AD70" s="7">
        <v>0.1</v>
      </c>
      <c r="AE70" s="7"/>
      <c r="AF70" s="7"/>
      <c r="AG70" s="7"/>
      <c r="AH70" s="7"/>
      <c r="AI70" s="8"/>
    </row>
    <row r="71" spans="3:35" x14ac:dyDescent="0.2">
      <c r="C71" t="s">
        <v>26</v>
      </c>
      <c r="D71" s="18">
        <f>D67/D70</f>
        <v>1.3467732732732733E-2</v>
      </c>
      <c r="K71" s="8"/>
      <c r="M71" t="s">
        <v>260</v>
      </c>
      <c r="N71">
        <v>0.3</v>
      </c>
      <c r="O71" s="60"/>
      <c r="Q71" s="8"/>
      <c r="V71" s="8"/>
      <c r="Z71" s="8"/>
      <c r="AA71" s="6"/>
      <c r="AB71" s="7"/>
      <c r="AC71" s="7" t="s">
        <v>118</v>
      </c>
      <c r="AD71">
        <f>(AD68)*AD69*(1-AD70)/0.45</f>
        <v>7670000</v>
      </c>
      <c r="AE71" s="7"/>
      <c r="AF71" s="7"/>
      <c r="AG71" s="7"/>
      <c r="AH71" s="7"/>
      <c r="AI71" s="8"/>
    </row>
    <row r="72" spans="3:35" x14ac:dyDescent="0.2">
      <c r="C72" t="s">
        <v>27</v>
      </c>
      <c r="D72" s="18">
        <f>D71*N38</f>
        <v>15.299344384384385</v>
      </c>
      <c r="K72" s="8"/>
      <c r="M72" t="s">
        <v>49</v>
      </c>
      <c r="N72">
        <f>N69*N68/W31</f>
        <v>7.3539820227690067E-2</v>
      </c>
      <c r="Q72" s="8"/>
      <c r="S72" s="16" t="s">
        <v>183</v>
      </c>
      <c r="V72" s="8"/>
      <c r="Z72" s="8"/>
      <c r="AA72" s="6"/>
      <c r="AB72" s="7"/>
      <c r="AC72" s="7" t="s">
        <v>114</v>
      </c>
      <c r="AD72" s="7">
        <v>0.52</v>
      </c>
      <c r="AE72" s="7" t="s">
        <v>227</v>
      </c>
      <c r="AF72" s="7"/>
      <c r="AG72" s="7"/>
      <c r="AH72" s="7"/>
      <c r="AI72" s="8"/>
    </row>
    <row r="73" spans="3:35" x14ac:dyDescent="0.2">
      <c r="K73" s="8"/>
      <c r="M73" t="s">
        <v>50</v>
      </c>
      <c r="N73">
        <f>N70*N68/W32</f>
        <v>8.2736571339381663E-3</v>
      </c>
      <c r="Q73" s="8"/>
      <c r="V73" s="8"/>
      <c r="Z73" s="8"/>
      <c r="AA73" s="6"/>
      <c r="AB73" s="7"/>
      <c r="AC73" s="7" t="s">
        <v>115</v>
      </c>
      <c r="AD73" s="17">
        <f>AD71*(1-AD72)*D71</f>
        <v>49582.804828828834</v>
      </c>
      <c r="AE73" s="7"/>
      <c r="AF73" s="7"/>
      <c r="AG73" s="7"/>
      <c r="AH73" s="7"/>
      <c r="AI73" s="8"/>
    </row>
    <row r="74" spans="3:35" ht="16" customHeight="1" x14ac:dyDescent="0.2">
      <c r="C74" s="3" t="s">
        <v>9</v>
      </c>
      <c r="F74" s="59" t="s">
        <v>248</v>
      </c>
      <c r="G74" s="60">
        <v>1</v>
      </c>
      <c r="K74" s="8"/>
      <c r="M74" t="s">
        <v>254</v>
      </c>
      <c r="N74">
        <f>SUM(N72:N73)</f>
        <v>8.1813477361628237E-2</v>
      </c>
      <c r="Q74" s="8"/>
      <c r="V74" s="8"/>
      <c r="Z74" s="8"/>
      <c r="AA74" s="6"/>
      <c r="AB74" s="7"/>
      <c r="AC74" s="7" t="s">
        <v>117</v>
      </c>
      <c r="AD74" s="7">
        <f>$N$31*AD73</f>
        <v>56326066.285549559</v>
      </c>
      <c r="AE74" s="7"/>
      <c r="AF74" s="7"/>
      <c r="AG74" s="7"/>
      <c r="AH74" s="7"/>
      <c r="AI74" s="8"/>
    </row>
    <row r="75" spans="3:35" x14ac:dyDescent="0.2">
      <c r="C75" t="s">
        <v>22</v>
      </c>
      <c r="D75">
        <f>G32*N25</f>
        <v>12231.15</v>
      </c>
      <c r="F75" s="59"/>
      <c r="G75" s="60"/>
      <c r="K75" s="8"/>
      <c r="M75" s="3" t="s">
        <v>255</v>
      </c>
      <c r="N75" s="3">
        <f>N74*N31</f>
        <v>92.940110282809684</v>
      </c>
      <c r="Q75" s="8"/>
      <c r="R75" s="3" t="s">
        <v>184</v>
      </c>
      <c r="V75" s="8"/>
      <c r="Z75" s="8"/>
      <c r="AA75" s="6"/>
      <c r="AB75" s="7"/>
      <c r="AC75" s="7"/>
      <c r="AD75" s="7"/>
      <c r="AE75" s="7"/>
      <c r="AF75" s="7"/>
      <c r="AG75" s="7"/>
      <c r="AH75" s="7"/>
      <c r="AI75" s="8"/>
    </row>
    <row r="76" spans="3:35" x14ac:dyDescent="0.2">
      <c r="C76" t="s">
        <v>23</v>
      </c>
      <c r="D76">
        <v>0</v>
      </c>
      <c r="F76" s="59"/>
      <c r="G76" s="60"/>
      <c r="K76" s="8"/>
      <c r="M76" s="3" t="s">
        <v>256</v>
      </c>
      <c r="N76" s="3">
        <f>N67*N31</f>
        <v>21.54196235614905</v>
      </c>
      <c r="Q76" s="8"/>
      <c r="S76" t="s">
        <v>87</v>
      </c>
      <c r="T76">
        <v>1.5</v>
      </c>
      <c r="U76" s="16" t="s">
        <v>178</v>
      </c>
      <c r="V76" s="8"/>
      <c r="Z76" s="8"/>
      <c r="AA76" s="6"/>
      <c r="AB76" s="12" t="s">
        <v>134</v>
      </c>
      <c r="AC76" s="7"/>
      <c r="AD76" s="7"/>
      <c r="AE76" s="7"/>
      <c r="AF76" s="7"/>
      <c r="AG76" s="7"/>
      <c r="AH76" s="7"/>
      <c r="AI76" s="8"/>
    </row>
    <row r="77" spans="3:35" x14ac:dyDescent="0.2">
      <c r="C77" t="s">
        <v>24</v>
      </c>
      <c r="D77">
        <v>0.3</v>
      </c>
      <c r="F77" t="s">
        <v>249</v>
      </c>
      <c r="G77">
        <f>G74*D80</f>
        <v>4.0344327526132409</v>
      </c>
      <c r="K77" s="8"/>
      <c r="Q77" s="8"/>
      <c r="S77" t="s">
        <v>88</v>
      </c>
      <c r="T77">
        <v>82</v>
      </c>
      <c r="U77" s="16" t="s">
        <v>103</v>
      </c>
      <c r="V77" s="8"/>
      <c r="Z77" s="8"/>
      <c r="AA77" s="6"/>
      <c r="AB77" s="7"/>
      <c r="AC77" s="7" t="s">
        <v>125</v>
      </c>
      <c r="AD77">
        <f>((((40+96)/2)/1.28)/1.331)*0.67</f>
        <v>26.742111194590535</v>
      </c>
      <c r="AE77" s="7"/>
      <c r="AF77" s="7" t="s">
        <v>228</v>
      </c>
      <c r="AG77" s="7"/>
      <c r="AH77" s="7"/>
      <c r="AI77" s="8"/>
    </row>
    <row r="78" spans="3:35" x14ac:dyDescent="0.2">
      <c r="C78" t="s">
        <v>25</v>
      </c>
      <c r="D78" s="18">
        <f>F32*(1-SUM(D76:D77))</f>
        <v>3444000</v>
      </c>
      <c r="K78" s="8"/>
      <c r="M78" s="3" t="s">
        <v>243</v>
      </c>
      <c r="Q78" s="8"/>
      <c r="S78" t="s">
        <v>89</v>
      </c>
      <c r="T78">
        <v>4</v>
      </c>
      <c r="U78" s="16"/>
      <c r="V78" s="8"/>
      <c r="Z78" s="8"/>
      <c r="AA78" s="6"/>
      <c r="AB78" s="7"/>
      <c r="AC78" s="7" t="s">
        <v>126</v>
      </c>
      <c r="AD78">
        <f>((40+96)/2)</f>
        <v>68</v>
      </c>
      <c r="AE78" s="7"/>
      <c r="AF78" s="7" t="s">
        <v>229</v>
      </c>
      <c r="AG78" s="7"/>
      <c r="AH78" s="7"/>
      <c r="AI78" s="8"/>
    </row>
    <row r="79" spans="3:35" x14ac:dyDescent="0.2">
      <c r="C79" t="s">
        <v>26</v>
      </c>
      <c r="D79" s="18">
        <f>D75/D78</f>
        <v>3.5514372822299653E-3</v>
      </c>
      <c r="K79" s="8"/>
      <c r="Q79" s="8"/>
      <c r="S79" t="s">
        <v>90</v>
      </c>
      <c r="T79">
        <f>T76*T77*T78</f>
        <v>492</v>
      </c>
      <c r="U79" s="16"/>
      <c r="V79" s="8"/>
      <c r="Z79" s="8"/>
      <c r="AA79" s="6"/>
      <c r="AB79" s="7"/>
      <c r="AC79" s="7" t="s">
        <v>127</v>
      </c>
      <c r="AD79">
        <f>AD78-AD77</f>
        <v>41.257888805409465</v>
      </c>
      <c r="AE79" s="7"/>
      <c r="AF79" s="7" t="s">
        <v>230</v>
      </c>
      <c r="AG79" s="7"/>
      <c r="AH79" s="7"/>
      <c r="AI79" s="8"/>
    </row>
    <row r="80" spans="3:35" x14ac:dyDescent="0.2">
      <c r="C80" t="s">
        <v>27</v>
      </c>
      <c r="D80" s="18">
        <f>D79*N38</f>
        <v>4.0344327526132409</v>
      </c>
      <c r="K80" s="8"/>
      <c r="L80" s="29" t="s">
        <v>257</v>
      </c>
      <c r="Q80" s="8"/>
      <c r="S80" t="s">
        <v>91</v>
      </c>
      <c r="T80">
        <f>T79*N44/1000</f>
        <v>9.84</v>
      </c>
      <c r="U80" s="16"/>
      <c r="V80" s="8"/>
      <c r="Z80" s="8"/>
      <c r="AA80" s="6"/>
      <c r="AB80" s="7"/>
      <c r="AC80" s="7" t="s">
        <v>128</v>
      </c>
      <c r="AD80">
        <f>(AD77)*E41</f>
        <v>23800.478963185575</v>
      </c>
      <c r="AE80" s="7"/>
      <c r="AF80" s="7"/>
      <c r="AG80" s="7"/>
      <c r="AH80" s="7"/>
      <c r="AI80" s="8"/>
    </row>
    <row r="81" spans="1:35" x14ac:dyDescent="0.2">
      <c r="A81" s="7"/>
      <c r="B81" s="7"/>
      <c r="C81" s="7"/>
      <c r="D81" s="7"/>
      <c r="K81" s="8"/>
      <c r="M81" t="s">
        <v>261</v>
      </c>
      <c r="N81">
        <f>N25*G38</f>
        <v>0</v>
      </c>
      <c r="Q81" s="8"/>
      <c r="S81" t="s">
        <v>92</v>
      </c>
      <c r="T81">
        <f>T79*N38</f>
        <v>558912</v>
      </c>
      <c r="U81" s="16"/>
      <c r="V81" s="8"/>
      <c r="Z81" s="8"/>
      <c r="AA81" s="6"/>
      <c r="AB81" s="7"/>
      <c r="AC81" s="7" t="s">
        <v>129</v>
      </c>
      <c r="AD81">
        <f>AD79*E41</f>
        <v>36719.521036814425</v>
      </c>
      <c r="AE81" s="7"/>
      <c r="AF81" s="7"/>
      <c r="AG81" s="7"/>
      <c r="AH81" s="7"/>
      <c r="AI81" s="8"/>
    </row>
    <row r="82" spans="1:35" x14ac:dyDescent="0.2">
      <c r="C82" s="3" t="s">
        <v>313</v>
      </c>
      <c r="K82" s="8"/>
      <c r="M82" t="s">
        <v>48</v>
      </c>
      <c r="N82">
        <f>N81/E38</f>
        <v>0</v>
      </c>
      <c r="Q82" s="8"/>
      <c r="S82" t="s">
        <v>93</v>
      </c>
      <c r="T82">
        <f>T81/N43/10000</f>
        <v>43.326511627906974</v>
      </c>
      <c r="U82" s="16"/>
      <c r="V82" s="8"/>
      <c r="Z82" s="8"/>
      <c r="AA82" s="6"/>
      <c r="AB82" s="7"/>
      <c r="AC82" s="7" t="s">
        <v>130</v>
      </c>
      <c r="AD82">
        <f>N25*G41</f>
        <v>13046.56</v>
      </c>
      <c r="AE82" s="7"/>
      <c r="AF82" s="7"/>
      <c r="AG82" s="7"/>
      <c r="AH82" s="7"/>
      <c r="AI82" s="8"/>
    </row>
    <row r="83" spans="1:35" x14ac:dyDescent="0.2">
      <c r="C83" t="s">
        <v>22</v>
      </c>
      <c r="D83">
        <f>G26*N25</f>
        <v>301701.7</v>
      </c>
      <c r="F83" t="s">
        <v>207</v>
      </c>
      <c r="G83" s="18">
        <f>G63*D88</f>
        <v>7.212397542087543</v>
      </c>
      <c r="K83" s="8"/>
      <c r="M83" t="s">
        <v>262</v>
      </c>
      <c r="N83">
        <f>N82/X26/T26</f>
        <v>0</v>
      </c>
      <c r="Q83" s="8"/>
      <c r="V83" s="8"/>
      <c r="Z83" s="8"/>
      <c r="AA83" s="6"/>
      <c r="AB83" s="7"/>
      <c r="AC83" s="7" t="s">
        <v>131</v>
      </c>
      <c r="AD83">
        <f>AD82/AD80</f>
        <v>0.54816375839243958</v>
      </c>
      <c r="AE83" s="7"/>
      <c r="AF83" s="7"/>
      <c r="AG83" s="7"/>
      <c r="AH83" s="7"/>
      <c r="AI83" s="8"/>
    </row>
    <row r="84" spans="1:35" x14ac:dyDescent="0.2">
      <c r="C84" t="s">
        <v>23</v>
      </c>
      <c r="D84">
        <v>0.1</v>
      </c>
      <c r="K84" s="8"/>
      <c r="M84" t="s">
        <v>263</v>
      </c>
      <c r="N84">
        <f>(70*(N83*T26)^0.75)*365</f>
        <v>0</v>
      </c>
      <c r="Q84" s="8"/>
      <c r="S84" s="16" t="s">
        <v>183</v>
      </c>
      <c r="V84" s="8"/>
      <c r="Z84" s="8"/>
      <c r="AA84" s="6"/>
      <c r="AB84" s="7"/>
      <c r="AC84" s="7" t="s">
        <v>132</v>
      </c>
      <c r="AD84">
        <f>AD83*N31</f>
        <v>622.71402953381141</v>
      </c>
      <c r="AE84" s="7"/>
      <c r="AF84" s="7"/>
      <c r="AG84" s="7"/>
      <c r="AH84" s="7"/>
      <c r="AI84" s="8"/>
    </row>
    <row r="85" spans="1:35" x14ac:dyDescent="0.2">
      <c r="C85" t="s">
        <v>24</v>
      </c>
      <c r="D85">
        <v>0.3</v>
      </c>
      <c r="K85" s="8"/>
      <c r="M85" t="s">
        <v>264</v>
      </c>
      <c r="N85">
        <v>0.65</v>
      </c>
      <c r="O85" s="60">
        <f>SUM(N85:N87)</f>
        <v>1</v>
      </c>
      <c r="Q85" s="8"/>
      <c r="V85" s="8"/>
      <c r="Z85" s="8"/>
      <c r="AA85" s="6"/>
      <c r="AB85" s="7"/>
      <c r="AC85" s="7" t="s">
        <v>133</v>
      </c>
      <c r="AD85">
        <f>AD84*AD79</f>
        <v>25691.866188074458</v>
      </c>
      <c r="AE85" s="7"/>
      <c r="AF85" s="7"/>
      <c r="AG85" s="7"/>
      <c r="AH85" s="7"/>
      <c r="AI85" s="8"/>
    </row>
    <row r="86" spans="1:35" x14ac:dyDescent="0.2">
      <c r="C86" t="s">
        <v>25</v>
      </c>
      <c r="D86" s="18">
        <f>F26*(1-(D84+D85))</f>
        <v>4752000</v>
      </c>
      <c r="K86" s="8"/>
      <c r="M86" t="s">
        <v>265</v>
      </c>
      <c r="N86">
        <v>0.1</v>
      </c>
      <c r="O86" s="60"/>
      <c r="Q86" s="8"/>
      <c r="V86" s="8"/>
      <c r="Z86" s="8"/>
      <c r="AA86" s="6"/>
      <c r="AB86" s="7"/>
      <c r="AC86" s="11" t="s">
        <v>187</v>
      </c>
      <c r="AD86" s="7">
        <f>AD84*AD81</f>
        <v>22865760.907386266</v>
      </c>
      <c r="AE86" s="7"/>
      <c r="AF86" s="7"/>
      <c r="AG86" s="7"/>
      <c r="AH86" s="7"/>
      <c r="AI86" s="8"/>
    </row>
    <row r="87" spans="1:35" x14ac:dyDescent="0.2">
      <c r="C87" t="s">
        <v>26</v>
      </c>
      <c r="D87" s="18">
        <f>D83/D86</f>
        <v>6.3489414983164988E-2</v>
      </c>
      <c r="K87" s="8"/>
      <c r="M87" t="s">
        <v>270</v>
      </c>
      <c r="N87">
        <v>0.25</v>
      </c>
      <c r="O87" s="60"/>
      <c r="Q87" s="8"/>
      <c r="R87" s="3" t="s">
        <v>244</v>
      </c>
      <c r="V87" s="8"/>
      <c r="Z87" s="8"/>
      <c r="AA87" s="6"/>
      <c r="AB87" s="12" t="s">
        <v>137</v>
      </c>
      <c r="AC87" s="7"/>
      <c r="AD87" s="7"/>
      <c r="AE87" s="7"/>
      <c r="AF87" s="7"/>
      <c r="AG87" s="7"/>
      <c r="AH87" s="7"/>
      <c r="AI87" s="8"/>
    </row>
    <row r="88" spans="1:35" x14ac:dyDescent="0.2">
      <c r="C88" t="s">
        <v>27</v>
      </c>
      <c r="D88" s="18">
        <f>D87*N38</f>
        <v>72.123975420875425</v>
      </c>
      <c r="K88" s="8"/>
      <c r="M88" t="s">
        <v>49</v>
      </c>
      <c r="N88">
        <f>N84*N85/W31</f>
        <v>0</v>
      </c>
      <c r="Q88" s="8"/>
      <c r="V88" s="8"/>
      <c r="Z88" s="8"/>
      <c r="AA88" s="6"/>
      <c r="AB88" s="7"/>
      <c r="AC88" s="7" t="s">
        <v>135</v>
      </c>
      <c r="AD88">
        <v>0.9</v>
      </c>
      <c r="AE88" s="7" t="s">
        <v>233</v>
      </c>
      <c r="AF88" s="7"/>
      <c r="AG88" s="7"/>
      <c r="AH88" s="7"/>
      <c r="AI88" s="8"/>
    </row>
    <row r="89" spans="1:35" x14ac:dyDescent="0.2">
      <c r="K89" s="8"/>
      <c r="M89" t="s">
        <v>50</v>
      </c>
      <c r="N89">
        <f>N86*N84/W32</f>
        <v>0</v>
      </c>
      <c r="Q89" s="8"/>
      <c r="V89" s="8"/>
      <c r="Z89" s="8"/>
      <c r="AA89" s="6"/>
      <c r="AB89" s="7"/>
      <c r="AC89" s="7" t="s">
        <v>136</v>
      </c>
      <c r="AD89">
        <v>0.2</v>
      </c>
      <c r="AE89" s="7" t="s">
        <v>234</v>
      </c>
      <c r="AF89" s="7"/>
      <c r="AG89" s="7"/>
      <c r="AH89" s="7"/>
      <c r="AI89" s="8"/>
    </row>
    <row r="90" spans="1:35" x14ac:dyDescent="0.2">
      <c r="A90" s="9"/>
      <c r="B90" s="9"/>
      <c r="C90" s="9"/>
      <c r="D90" s="9"/>
      <c r="E90" s="9"/>
      <c r="F90" s="9"/>
      <c r="G90" s="9"/>
      <c r="H90" s="9"/>
      <c r="I90" s="9"/>
      <c r="J90" s="9"/>
      <c r="K90" s="10"/>
      <c r="M90" t="s">
        <v>271</v>
      </c>
      <c r="N90">
        <f>N87*N84/W33</f>
        <v>0</v>
      </c>
      <c r="Q90" s="8"/>
      <c r="V90" s="8"/>
      <c r="Z90" s="8"/>
      <c r="AA90" s="6"/>
      <c r="AB90" s="7"/>
      <c r="AC90" s="7" t="s">
        <v>143</v>
      </c>
      <c r="AD90">
        <f>(1-AD88)*AD89</f>
        <v>1.9999999999999997E-2</v>
      </c>
      <c r="AE90" s="7"/>
      <c r="AF90" s="7"/>
      <c r="AG90" s="7"/>
      <c r="AH90" s="7"/>
      <c r="AI90" s="8"/>
    </row>
    <row r="91" spans="1:35" x14ac:dyDescent="0.2">
      <c r="K91" s="8"/>
      <c r="M91" t="s">
        <v>266</v>
      </c>
      <c r="N91">
        <f>SUM(N88:N90)</f>
        <v>0</v>
      </c>
      <c r="Q91" s="8"/>
      <c r="V91" s="8"/>
      <c r="Z91" s="8"/>
      <c r="AA91" s="6"/>
      <c r="AB91" s="7"/>
      <c r="AC91" s="7" t="s">
        <v>138</v>
      </c>
      <c r="AD91">
        <f>(AD89*AD88)*E43</f>
        <v>149.4</v>
      </c>
      <c r="AE91" s="7"/>
      <c r="AF91" s="7"/>
      <c r="AG91" s="7"/>
      <c r="AH91" s="7"/>
      <c r="AI91" s="8"/>
    </row>
    <row r="92" spans="1:35" x14ac:dyDescent="0.2">
      <c r="B92" s="3" t="s">
        <v>108</v>
      </c>
      <c r="D92" s="3" t="s">
        <v>109</v>
      </c>
      <c r="E92" s="3">
        <f>D99</f>
        <v>6.0417759828016253</v>
      </c>
      <c r="K92" s="8"/>
      <c r="M92" s="3" t="s">
        <v>267</v>
      </c>
      <c r="N92">
        <f>N91*N31</f>
        <v>0</v>
      </c>
      <c r="Q92" s="8"/>
      <c r="V92" s="8"/>
      <c r="Z92" s="8"/>
      <c r="AA92" s="6"/>
      <c r="AB92" s="7"/>
      <c r="AC92" s="7" t="s">
        <v>139</v>
      </c>
      <c r="AD92">
        <f>G43*N25</f>
        <v>48924.6</v>
      </c>
      <c r="AE92" s="7"/>
      <c r="AF92" s="7"/>
      <c r="AG92" s="7"/>
      <c r="AH92" s="7"/>
      <c r="AI92" s="8"/>
    </row>
    <row r="93" spans="1:35" x14ac:dyDescent="0.2">
      <c r="B93" s="3" t="s">
        <v>311</v>
      </c>
      <c r="K93" s="8"/>
      <c r="M93" s="3" t="s">
        <v>272</v>
      </c>
      <c r="N93">
        <f>N83*N31</f>
        <v>0</v>
      </c>
      <c r="Q93" s="8"/>
      <c r="V93" s="8"/>
      <c r="Z93" s="8"/>
      <c r="AA93" s="6"/>
      <c r="AB93" s="7"/>
      <c r="AC93" s="7" t="s">
        <v>140</v>
      </c>
      <c r="AD93">
        <f>AD92/AD91</f>
        <v>327.47389558232931</v>
      </c>
      <c r="AF93" s="7"/>
      <c r="AG93" s="7"/>
      <c r="AH93" s="7"/>
      <c r="AI93" s="8"/>
    </row>
    <row r="94" spans="1:35" x14ac:dyDescent="0.2">
      <c r="C94" t="s">
        <v>22</v>
      </c>
      <c r="D94">
        <f>N25*G29</f>
        <v>20385.25</v>
      </c>
      <c r="K94" s="8"/>
      <c r="Q94" s="8"/>
      <c r="V94" s="8"/>
      <c r="Z94" s="8"/>
      <c r="AA94" s="6"/>
      <c r="AB94" s="7"/>
      <c r="AC94" s="7" t="s">
        <v>141</v>
      </c>
      <c r="AD94">
        <f>AD93*N31</f>
        <v>372010.3453815261</v>
      </c>
      <c r="AE94" s="7" t="s">
        <v>317</v>
      </c>
      <c r="AF94" s="7"/>
      <c r="AG94" s="7"/>
      <c r="AH94" s="7"/>
      <c r="AI94" s="8"/>
    </row>
    <row r="95" spans="1:35" x14ac:dyDescent="0.2">
      <c r="C95" t="s">
        <v>23</v>
      </c>
      <c r="D95">
        <v>0</v>
      </c>
      <c r="K95" s="8"/>
      <c r="Q95" s="8"/>
      <c r="V95" s="8"/>
      <c r="Z95" s="8"/>
      <c r="AA95" s="6"/>
      <c r="AB95" s="7"/>
      <c r="AC95" s="7" t="s">
        <v>142</v>
      </c>
      <c r="AD95">
        <f>AD90*AD94</f>
        <v>7440.2069076305206</v>
      </c>
      <c r="AE95" s="7"/>
      <c r="AF95" s="7"/>
      <c r="AG95" s="7"/>
      <c r="AH95" s="7"/>
      <c r="AI95" s="8"/>
    </row>
    <row r="96" spans="1:35" x14ac:dyDescent="0.2">
      <c r="C96" t="s">
        <v>24</v>
      </c>
      <c r="D96">
        <v>0.3</v>
      </c>
      <c r="K96" s="8"/>
      <c r="Q96" s="8"/>
      <c r="V96" s="8"/>
      <c r="Z96" s="8"/>
      <c r="AA96" s="6"/>
      <c r="AB96" s="7"/>
      <c r="AC96" s="7" t="s">
        <v>144</v>
      </c>
      <c r="AD96">
        <f>AD95*E42</f>
        <v>8935688.496064255</v>
      </c>
      <c r="AE96" s="7"/>
      <c r="AF96" s="7"/>
      <c r="AG96" s="7"/>
      <c r="AH96" s="7"/>
      <c r="AI96" s="8"/>
    </row>
    <row r="97" spans="3:35" x14ac:dyDescent="0.2">
      <c r="C97" t="s">
        <v>25</v>
      </c>
      <c r="D97">
        <f>F29*(1-SUM(D95:D96))</f>
        <v>3832919.9999999995</v>
      </c>
      <c r="K97" s="8"/>
      <c r="Q97" s="8"/>
      <c r="V97" s="8"/>
      <c r="Z97" s="8"/>
      <c r="AA97" s="6"/>
      <c r="AB97" s="7"/>
      <c r="AC97" s="7"/>
      <c r="AD97" s="7"/>
      <c r="AE97" s="7"/>
      <c r="AF97" s="7"/>
      <c r="AG97" s="7"/>
      <c r="AH97" s="7"/>
      <c r="AI97" s="8"/>
    </row>
    <row r="98" spans="3:35" x14ac:dyDescent="0.2">
      <c r="C98" t="s">
        <v>26</v>
      </c>
      <c r="D98">
        <f>D94/D97</f>
        <v>5.3184647735929798E-3</v>
      </c>
      <c r="K98" s="8"/>
      <c r="Q98" s="8"/>
      <c r="V98" s="8"/>
      <c r="Z98" s="8"/>
      <c r="AA98" s="6"/>
      <c r="AB98" s="12" t="s">
        <v>121</v>
      </c>
      <c r="AC98" s="7"/>
      <c r="AD98" s="7"/>
      <c r="AE98" s="7"/>
      <c r="AF98" s="7"/>
      <c r="AG98" s="7"/>
      <c r="AH98" s="7"/>
      <c r="AI98" s="8"/>
    </row>
    <row r="99" spans="3:35" x14ac:dyDescent="0.2">
      <c r="C99" t="s">
        <v>27</v>
      </c>
      <c r="D99">
        <f>D98*N38</f>
        <v>6.0417759828016253</v>
      </c>
      <c r="K99" s="8"/>
      <c r="Q99" s="8"/>
      <c r="V99" s="8"/>
      <c r="Z99" s="8"/>
      <c r="AA99" s="6"/>
      <c r="AB99" s="7"/>
      <c r="AC99" s="7" t="s">
        <v>145</v>
      </c>
      <c r="AD99" s="7">
        <v>0.5</v>
      </c>
      <c r="AE99" s="7" t="s">
        <v>113</v>
      </c>
      <c r="AF99" s="7"/>
      <c r="AG99" s="7"/>
      <c r="AH99" s="7"/>
      <c r="AI99" s="8"/>
    </row>
    <row r="100" spans="3:35" x14ac:dyDescent="0.2">
      <c r="K100" s="8"/>
      <c r="Q100" s="8"/>
      <c r="V100" s="8"/>
      <c r="Z100" s="8"/>
      <c r="AA100" s="6"/>
      <c r="AB100" s="7"/>
      <c r="AC100" s="7" t="s">
        <v>146</v>
      </c>
      <c r="AD100" s="7">
        <f>AD99*365</f>
        <v>182.5</v>
      </c>
      <c r="AE100" s="7"/>
      <c r="AF100" s="7"/>
      <c r="AG100" s="7"/>
      <c r="AH100" s="7"/>
      <c r="AI100" s="8"/>
    </row>
    <row r="101" spans="3:35" x14ac:dyDescent="0.2">
      <c r="K101" s="8"/>
      <c r="Q101" s="8"/>
      <c r="V101" s="8"/>
      <c r="Z101" s="8"/>
      <c r="AA101" s="6"/>
      <c r="AB101" s="7"/>
      <c r="AC101" s="7" t="s">
        <v>148</v>
      </c>
      <c r="AD101" s="7">
        <f>V35</f>
        <v>890</v>
      </c>
      <c r="AE101" s="7"/>
      <c r="AF101" s="7"/>
      <c r="AG101" s="7"/>
      <c r="AH101" s="7"/>
      <c r="AI101" s="8"/>
    </row>
    <row r="102" spans="3:35" x14ac:dyDescent="0.2">
      <c r="K102" s="8"/>
      <c r="Q102" s="8"/>
      <c r="V102" s="8"/>
      <c r="Z102" s="8"/>
      <c r="AA102" s="6"/>
      <c r="AB102" s="7"/>
      <c r="AC102" s="7" t="s">
        <v>147</v>
      </c>
      <c r="AD102" s="7">
        <f>AD100*AD101</f>
        <v>162425</v>
      </c>
      <c r="AE102" s="7"/>
      <c r="AF102" s="7"/>
      <c r="AG102" s="7"/>
      <c r="AH102" s="7"/>
      <c r="AI102" s="8"/>
    </row>
    <row r="103" spans="3:35" x14ac:dyDescent="0.2">
      <c r="K103" s="8"/>
      <c r="Q103" s="8"/>
      <c r="V103" s="8"/>
      <c r="Z103" s="8"/>
      <c r="AA103" s="6"/>
      <c r="AB103" s="7"/>
      <c r="AC103" s="7" t="s">
        <v>150</v>
      </c>
      <c r="AD103" s="7">
        <f>AD100*N31</f>
        <v>207320</v>
      </c>
      <c r="AE103" s="7"/>
      <c r="AF103" s="7"/>
      <c r="AG103" s="7"/>
      <c r="AH103" s="7"/>
      <c r="AI103" s="8"/>
    </row>
    <row r="104" spans="3:35" x14ac:dyDescent="0.2">
      <c r="K104" s="8"/>
      <c r="Q104" s="8"/>
      <c r="V104" s="8"/>
      <c r="Z104" s="8"/>
      <c r="AA104" s="6"/>
      <c r="AB104" s="7"/>
      <c r="AC104" s="7" t="s">
        <v>149</v>
      </c>
      <c r="AD104" s="7">
        <f>AD102*N38</f>
        <v>184514800</v>
      </c>
      <c r="AE104" s="7"/>
      <c r="AF104" s="7"/>
      <c r="AG104" s="7"/>
      <c r="AH104" s="7"/>
      <c r="AI104" s="8"/>
    </row>
    <row r="105" spans="3:35" x14ac:dyDescent="0.2">
      <c r="K105" s="8"/>
      <c r="Q105" s="8"/>
      <c r="V105" s="8"/>
      <c r="Z105" s="8"/>
      <c r="AA105" s="6"/>
      <c r="AB105" s="7"/>
      <c r="AC105" s="7"/>
      <c r="AD105" s="7"/>
      <c r="AE105" s="7"/>
      <c r="AF105" s="7"/>
      <c r="AG105" s="7"/>
      <c r="AH105" s="7"/>
      <c r="AI105" s="8"/>
    </row>
    <row r="106" spans="3:35" x14ac:dyDescent="0.2">
      <c r="Z106" s="8"/>
      <c r="AA106" s="23"/>
      <c r="AB106" s="9"/>
      <c r="AC106" s="9"/>
      <c r="AD106" s="9"/>
      <c r="AE106" s="9"/>
      <c r="AF106" s="9"/>
      <c r="AG106" s="9"/>
      <c r="AH106" s="9"/>
      <c r="AI106" s="10"/>
    </row>
  </sheetData>
  <mergeCells count="10">
    <mergeCell ref="O85:O87"/>
    <mergeCell ref="O69:O71"/>
    <mergeCell ref="F74:F76"/>
    <mergeCell ref="G74:G76"/>
    <mergeCell ref="B25:B33"/>
    <mergeCell ref="O53:O54"/>
    <mergeCell ref="F67:F68"/>
    <mergeCell ref="G67:G68"/>
    <mergeCell ref="B34:B39"/>
    <mergeCell ref="B40:B4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CEDA73-4258-DA42-9753-FED769F3451C}">
  <dimension ref="A1:AI106"/>
  <sheetViews>
    <sheetView topLeftCell="A31" workbookViewId="0">
      <selection activeCell="H41" sqref="H41"/>
    </sheetView>
  </sheetViews>
  <sheetFormatPr baseColWidth="10" defaultRowHeight="16" x14ac:dyDescent="0.2"/>
  <cols>
    <col min="1" max="1" width="13.33203125" customWidth="1"/>
    <col min="2" max="2" width="14" customWidth="1"/>
    <col min="3" max="3" width="34.6640625" customWidth="1"/>
    <col min="4" max="4" width="19" customWidth="1"/>
    <col min="6" max="6" width="15" customWidth="1"/>
    <col min="13" max="13" width="43.5" customWidth="1"/>
    <col min="18" max="18" width="14.6640625" customWidth="1"/>
    <col min="19" max="19" width="43.83203125" customWidth="1"/>
    <col min="20" max="20" width="17.5" customWidth="1"/>
    <col min="22" max="22" width="14.5" customWidth="1"/>
    <col min="23" max="23" width="23.5" customWidth="1"/>
    <col min="24" max="24" width="33" customWidth="1"/>
    <col min="27" max="27" width="22.83203125" bestFit="1" customWidth="1"/>
    <col min="28" max="28" width="13.33203125" customWidth="1"/>
    <col min="29" max="29" width="50.1640625" bestFit="1" customWidth="1"/>
    <col min="30" max="30" width="12.1640625" bestFit="1" customWidth="1"/>
    <col min="33" max="33" width="45.6640625" bestFit="1" customWidth="1"/>
  </cols>
  <sheetData>
    <row r="1" spans="1:5" ht="21" x14ac:dyDescent="0.25">
      <c r="A1" s="2" t="s">
        <v>0</v>
      </c>
    </row>
    <row r="2" spans="1:5" ht="21" x14ac:dyDescent="0.25">
      <c r="A2" s="2" t="s">
        <v>167</v>
      </c>
      <c r="B2" s="2">
        <v>1800</v>
      </c>
    </row>
    <row r="3" spans="1:5" s="9" customFormat="1" ht="21" x14ac:dyDescent="0.25">
      <c r="A3" s="19" t="s">
        <v>166</v>
      </c>
      <c r="B3" s="19" t="s">
        <v>298</v>
      </c>
    </row>
    <row r="7" spans="1:5" ht="19" x14ac:dyDescent="0.25">
      <c r="B7" s="20" t="s">
        <v>168</v>
      </c>
      <c r="C7" s="4"/>
      <c r="D7" s="4"/>
      <c r="E7" s="5"/>
    </row>
    <row r="8" spans="1:5" x14ac:dyDescent="0.2">
      <c r="B8" s="21" t="s">
        <v>169</v>
      </c>
      <c r="C8" s="12" t="s">
        <v>251</v>
      </c>
      <c r="D8" s="12" t="s">
        <v>104</v>
      </c>
      <c r="E8" s="22" t="s">
        <v>252</v>
      </c>
    </row>
    <row r="9" spans="1:5" x14ac:dyDescent="0.2">
      <c r="B9" s="6">
        <v>1</v>
      </c>
      <c r="C9" s="7" t="s">
        <v>105</v>
      </c>
      <c r="D9" s="15">
        <f>N34*(N38/N31)</f>
        <v>5.5500000000000007</v>
      </c>
      <c r="E9" s="8">
        <v>1</v>
      </c>
    </row>
    <row r="10" spans="1:5" x14ac:dyDescent="0.2">
      <c r="B10" s="6">
        <v>2</v>
      </c>
      <c r="C10" s="7" t="s">
        <v>212</v>
      </c>
      <c r="D10" s="15">
        <f>E48+G69</f>
        <v>112.31717880032849</v>
      </c>
      <c r="E10" s="8">
        <v>2</v>
      </c>
    </row>
    <row r="11" spans="1:5" x14ac:dyDescent="0.2">
      <c r="B11" s="6">
        <v>3</v>
      </c>
      <c r="C11" s="7" t="s">
        <v>213</v>
      </c>
      <c r="D11" s="15">
        <f>E57</f>
        <v>120.10827171695908</v>
      </c>
      <c r="E11" s="8">
        <v>3</v>
      </c>
    </row>
    <row r="12" spans="1:5" x14ac:dyDescent="0.2">
      <c r="B12" s="6">
        <v>4</v>
      </c>
      <c r="C12" s="7" t="s">
        <v>214</v>
      </c>
      <c r="D12" s="15">
        <f>D11/(1/3)-D11</f>
        <v>240.21654343391819</v>
      </c>
      <c r="E12" s="8">
        <v>4</v>
      </c>
    </row>
    <row r="13" spans="1:5" x14ac:dyDescent="0.2">
      <c r="B13" s="6">
        <v>5</v>
      </c>
      <c r="C13" s="7" t="s">
        <v>285</v>
      </c>
      <c r="D13" s="15">
        <f>N75+N92</f>
        <v>223.88890483684787</v>
      </c>
      <c r="E13" s="8">
        <v>4</v>
      </c>
    </row>
    <row r="14" spans="1:5" x14ac:dyDescent="0.2">
      <c r="B14" s="6">
        <v>6</v>
      </c>
      <c r="C14" s="7" t="s">
        <v>215</v>
      </c>
      <c r="D14" s="15">
        <f>E92</f>
        <v>6.0417759828016253</v>
      </c>
      <c r="E14" s="8">
        <v>5</v>
      </c>
    </row>
    <row r="15" spans="1:5" x14ac:dyDescent="0.2">
      <c r="B15" s="6">
        <v>7</v>
      </c>
      <c r="C15" s="7" t="s">
        <v>216</v>
      </c>
      <c r="D15" s="15">
        <f>U47</f>
        <v>85.199999999999989</v>
      </c>
      <c r="E15" s="8">
        <v>5</v>
      </c>
    </row>
    <row r="16" spans="1:5" x14ac:dyDescent="0.2">
      <c r="B16" s="6">
        <v>8</v>
      </c>
      <c r="C16" s="7" t="s">
        <v>238</v>
      </c>
      <c r="D16" s="15">
        <f>N58</f>
        <v>60.675686759809338</v>
      </c>
      <c r="E16" s="8">
        <v>6</v>
      </c>
    </row>
    <row r="17" spans="1:35" x14ac:dyDescent="0.2">
      <c r="B17" s="6">
        <v>9</v>
      </c>
      <c r="C17" s="7" t="s">
        <v>106</v>
      </c>
      <c r="D17" s="15">
        <f>Y52</f>
        <v>1367.93241696</v>
      </c>
      <c r="E17" s="8">
        <v>6</v>
      </c>
    </row>
    <row r="18" spans="1:35" x14ac:dyDescent="0.2">
      <c r="B18" s="6">
        <v>10</v>
      </c>
      <c r="C18" s="7" t="s">
        <v>211</v>
      </c>
      <c r="D18" s="15">
        <f>SUM(D9:D15)+D16</f>
        <v>853.99836153066451</v>
      </c>
      <c r="E18" s="8" t="s">
        <v>16</v>
      </c>
    </row>
    <row r="19" spans="1:35" x14ac:dyDescent="0.2">
      <c r="B19" s="23">
        <v>11</v>
      </c>
      <c r="C19" s="46" t="s">
        <v>253</v>
      </c>
      <c r="D19" s="41">
        <f>SUM(D9:D17)</f>
        <v>2221.9307784906646</v>
      </c>
      <c r="E19" s="10" t="s">
        <v>16</v>
      </c>
    </row>
    <row r="21" spans="1:35" s="4" customFormat="1" x14ac:dyDescent="0.2">
      <c r="A21" s="26"/>
      <c r="K21" s="5"/>
      <c r="Q21" s="5"/>
      <c r="R21" s="26"/>
      <c r="Z21" s="5"/>
      <c r="AA21" s="26"/>
      <c r="AI21" s="5"/>
    </row>
    <row r="22" spans="1:35" ht="19" x14ac:dyDescent="0.25">
      <c r="A22" s="27" t="s">
        <v>170</v>
      </c>
      <c r="C22" s="7"/>
      <c r="D22" s="7"/>
      <c r="E22" s="7"/>
      <c r="F22" s="7"/>
      <c r="G22" s="7"/>
      <c r="H22" s="7"/>
      <c r="I22" s="7"/>
      <c r="J22" s="7"/>
      <c r="K22" s="8"/>
      <c r="L22" s="7"/>
      <c r="M22" s="7"/>
      <c r="N22" s="7"/>
      <c r="O22" s="7"/>
      <c r="P22" s="7"/>
      <c r="Q22" s="8"/>
      <c r="R22" s="6"/>
      <c r="S22" s="7"/>
      <c r="T22" s="7"/>
      <c r="U22" s="7"/>
      <c r="V22" s="7"/>
      <c r="W22" s="7"/>
      <c r="X22" s="7"/>
      <c r="Y22" s="7"/>
      <c r="Z22" s="8"/>
      <c r="AA22" s="6"/>
      <c r="AB22" s="7"/>
      <c r="AC22" s="7"/>
      <c r="AD22" s="7"/>
      <c r="AE22" s="7"/>
      <c r="AF22" s="7"/>
      <c r="AG22" s="7"/>
      <c r="AH22" s="7"/>
      <c r="AI22" s="8"/>
    </row>
    <row r="23" spans="1:35" ht="19" x14ac:dyDescent="0.25">
      <c r="A23" s="24" t="s">
        <v>28</v>
      </c>
      <c r="C23" s="7"/>
      <c r="D23" s="7"/>
      <c r="E23" s="7"/>
      <c r="F23" s="7"/>
      <c r="G23" s="7"/>
      <c r="H23" s="7"/>
      <c r="I23" s="7"/>
      <c r="J23" s="7"/>
      <c r="K23" s="8"/>
      <c r="L23" s="24" t="s">
        <v>31</v>
      </c>
      <c r="N23" s="7"/>
      <c r="O23" s="7"/>
      <c r="P23" s="7"/>
      <c r="Q23" s="8"/>
      <c r="R23" s="31" t="s">
        <v>45</v>
      </c>
      <c r="S23" s="7"/>
      <c r="T23" s="7"/>
      <c r="U23" s="7"/>
      <c r="V23" s="7"/>
      <c r="W23" s="7"/>
      <c r="X23" s="7"/>
      <c r="Y23" s="7"/>
      <c r="Z23" s="8"/>
      <c r="AA23" s="31" t="s">
        <v>152</v>
      </c>
      <c r="AB23" s="7"/>
      <c r="AC23" s="7"/>
      <c r="AD23" s="7"/>
      <c r="AE23" s="7"/>
      <c r="AF23" s="7"/>
      <c r="AG23" s="7"/>
      <c r="AH23" s="7"/>
      <c r="AI23" s="8"/>
    </row>
    <row r="24" spans="1:35" ht="34" x14ac:dyDescent="0.2">
      <c r="A24" s="6"/>
      <c r="B24" s="51"/>
      <c r="C24" s="51" t="s">
        <v>1</v>
      </c>
      <c r="D24" s="51" t="s">
        <v>2</v>
      </c>
      <c r="E24" s="47" t="s">
        <v>3</v>
      </c>
      <c r="F24" s="47" t="s">
        <v>4</v>
      </c>
      <c r="G24" s="48" t="s">
        <v>44</v>
      </c>
      <c r="H24" t="s">
        <v>18</v>
      </c>
      <c r="I24" s="7"/>
      <c r="J24" s="7"/>
      <c r="K24" s="8"/>
      <c r="L24" s="7"/>
      <c r="M24" s="7" t="s">
        <v>29</v>
      </c>
      <c r="N24" s="7">
        <v>2234</v>
      </c>
      <c r="O24" s="7" t="s">
        <v>172</v>
      </c>
      <c r="P24" s="7"/>
      <c r="Q24" s="8"/>
      <c r="R24" s="6"/>
      <c r="S24" s="33" t="s">
        <v>47</v>
      </c>
      <c r="T24" s="28">
        <v>45</v>
      </c>
      <c r="U24" s="7"/>
      <c r="V24" s="7"/>
      <c r="W24" s="14" t="s">
        <v>52</v>
      </c>
      <c r="X24" s="28">
        <v>7.3599999999999999E-2</v>
      </c>
      <c r="Y24" s="7" t="s">
        <v>274</v>
      </c>
      <c r="Z24" s="8"/>
      <c r="AA24" s="6"/>
      <c r="AB24" s="7"/>
      <c r="AC24" s="12" t="s">
        <v>153</v>
      </c>
      <c r="AD24" s="12" t="s">
        <v>154</v>
      </c>
      <c r="AE24" s="7"/>
      <c r="AF24" s="7"/>
      <c r="AG24" s="7" t="s">
        <v>161</v>
      </c>
      <c r="AH24" s="7">
        <f>N59</f>
        <v>391.23754978607303</v>
      </c>
      <c r="AI24" s="8"/>
    </row>
    <row r="25" spans="1:35" ht="34" x14ac:dyDescent="0.2">
      <c r="A25" s="6"/>
      <c r="B25" s="61" t="s">
        <v>17</v>
      </c>
      <c r="C25" t="s">
        <v>5</v>
      </c>
      <c r="D25" s="51">
        <v>1650</v>
      </c>
      <c r="E25" s="54">
        <v>3540</v>
      </c>
      <c r="F25" s="49">
        <f>D25*E25</f>
        <v>5841000</v>
      </c>
      <c r="G25" s="51">
        <v>0.32</v>
      </c>
      <c r="I25" s="7"/>
      <c r="L25" s="7"/>
      <c r="M25" s="7" t="s">
        <v>30</v>
      </c>
      <c r="N25" s="7">
        <f>N24*365</f>
        <v>815410</v>
      </c>
      <c r="O25" s="7"/>
      <c r="P25" s="7"/>
      <c r="Q25" s="8"/>
      <c r="R25" s="6"/>
      <c r="S25" s="33" t="s">
        <v>46</v>
      </c>
      <c r="T25" s="28">
        <v>436</v>
      </c>
      <c r="U25" s="32" t="s">
        <v>218</v>
      </c>
      <c r="V25" s="7"/>
      <c r="W25" s="14" t="s">
        <v>53</v>
      </c>
      <c r="X25" s="28">
        <v>0.222</v>
      </c>
      <c r="Y25" s="32" t="s">
        <v>275</v>
      </c>
      <c r="Z25" s="8"/>
      <c r="AA25" s="6"/>
      <c r="AB25" s="12" t="s">
        <v>151</v>
      </c>
      <c r="AC25" s="36">
        <f>AD56/1000</f>
        <v>594641.71070220461</v>
      </c>
      <c r="AD25" s="36">
        <f>AC25*$AB$39</f>
        <v>285428021.1370582</v>
      </c>
      <c r="AE25" s="7"/>
      <c r="AF25" s="7"/>
      <c r="AG25" s="7" t="s">
        <v>162</v>
      </c>
      <c r="AH25" s="7">
        <f>N52/N51</f>
        <v>579475.04789838311</v>
      </c>
      <c r="AI25" s="8"/>
    </row>
    <row r="26" spans="1:35" ht="34" x14ac:dyDescent="0.2">
      <c r="A26" s="6"/>
      <c r="B26" s="61"/>
      <c r="C26" t="s">
        <v>315</v>
      </c>
      <c r="D26" s="51">
        <v>6000</v>
      </c>
      <c r="E26" s="54">
        <v>1320</v>
      </c>
      <c r="F26" s="49">
        <f t="shared" ref="F26:F32" si="0">D26*E26</f>
        <v>7920000</v>
      </c>
      <c r="G26" s="51">
        <v>0.21</v>
      </c>
      <c r="I26" s="7"/>
      <c r="J26" s="7"/>
      <c r="K26" s="8"/>
      <c r="L26" s="7"/>
      <c r="M26" s="7"/>
      <c r="N26" s="7"/>
      <c r="O26" s="7"/>
      <c r="P26" s="7"/>
      <c r="Q26" s="8"/>
      <c r="R26" s="6"/>
      <c r="S26" s="33" t="s">
        <v>269</v>
      </c>
      <c r="T26" s="28">
        <v>35</v>
      </c>
      <c r="U26" s="7"/>
      <c r="V26" s="7"/>
      <c r="W26" s="14" t="s">
        <v>273</v>
      </c>
      <c r="X26" s="28">
        <v>0.113</v>
      </c>
      <c r="Y26" s="7" t="s">
        <v>274</v>
      </c>
      <c r="Z26" s="8"/>
      <c r="AA26" s="6"/>
      <c r="AB26" s="12" t="s">
        <v>155</v>
      </c>
      <c r="AC26" s="36">
        <f>AD65/1000</f>
        <v>266191.02366315789</v>
      </c>
      <c r="AD26" s="36">
        <f>AC26*$AB$39</f>
        <v>127771691.35831578</v>
      </c>
      <c r="AE26" s="7"/>
      <c r="AF26" s="7"/>
      <c r="AG26" s="7" t="s">
        <v>163</v>
      </c>
      <c r="AH26" s="36">
        <f>AH25*AH24</f>
        <v>226712397.90193072</v>
      </c>
      <c r="AI26" s="8"/>
    </row>
    <row r="27" spans="1:35" ht="16" customHeight="1" x14ac:dyDescent="0.2">
      <c r="A27" s="6"/>
      <c r="B27" s="61"/>
      <c r="C27" t="s">
        <v>120</v>
      </c>
      <c r="D27" s="51">
        <v>2000</v>
      </c>
      <c r="E27" s="54">
        <v>1110</v>
      </c>
      <c r="F27" s="49">
        <f t="shared" si="0"/>
        <v>2220000</v>
      </c>
      <c r="G27" s="51">
        <v>2.1999999999999999E-2</v>
      </c>
      <c r="I27" s="7"/>
      <c r="J27" s="7"/>
      <c r="K27" s="8"/>
      <c r="L27" s="9"/>
      <c r="M27" s="9"/>
      <c r="N27" s="9"/>
      <c r="O27" s="9"/>
      <c r="P27" s="9"/>
      <c r="Q27" s="10"/>
      <c r="R27" s="6"/>
      <c r="S27" s="7"/>
      <c r="T27" s="7"/>
      <c r="U27" s="7"/>
      <c r="V27" s="7"/>
      <c r="W27" s="7"/>
      <c r="X27" s="7"/>
      <c r="Y27" s="7"/>
      <c r="Z27" s="8"/>
      <c r="AA27" s="6"/>
      <c r="AB27" s="12" t="s">
        <v>156</v>
      </c>
      <c r="AC27" s="36">
        <f>AD74/1000</f>
        <v>56326.066285549561</v>
      </c>
      <c r="AD27" s="36">
        <f>AC27*AB40</f>
        <v>13574581.974817444</v>
      </c>
      <c r="AE27" s="7"/>
      <c r="AF27" s="7"/>
      <c r="AG27" s="7"/>
      <c r="AH27" s="7"/>
      <c r="AI27" s="8"/>
    </row>
    <row r="28" spans="1:35" x14ac:dyDescent="0.2">
      <c r="A28" s="6"/>
      <c r="B28" s="61"/>
      <c r="C28" t="s">
        <v>276</v>
      </c>
      <c r="D28" s="51">
        <v>5000</v>
      </c>
      <c r="E28" s="54">
        <v>950</v>
      </c>
      <c r="F28" s="49">
        <f t="shared" si="0"/>
        <v>4750000</v>
      </c>
      <c r="G28" s="51">
        <v>0.21</v>
      </c>
      <c r="I28" s="7"/>
      <c r="J28" s="7"/>
      <c r="K28" s="8"/>
      <c r="L28" s="7"/>
      <c r="M28" s="7"/>
      <c r="N28" s="7"/>
      <c r="O28" s="7"/>
      <c r="P28" s="7"/>
      <c r="Q28" s="8"/>
      <c r="R28" s="6"/>
      <c r="S28" s="7"/>
      <c r="T28" s="7"/>
      <c r="Y28" s="7"/>
      <c r="Z28" s="8"/>
      <c r="AA28" s="6"/>
      <c r="AB28" s="12" t="s">
        <v>157</v>
      </c>
      <c r="AC28" s="36">
        <f>AD85</f>
        <v>25691.866188074458</v>
      </c>
      <c r="AD28" s="36">
        <f>AD86</f>
        <v>22865760.907386266</v>
      </c>
      <c r="AE28" s="7"/>
      <c r="AF28" s="7"/>
      <c r="AG28" s="7"/>
      <c r="AH28" s="7"/>
      <c r="AI28" s="8"/>
    </row>
    <row r="29" spans="1:35" ht="19" x14ac:dyDescent="0.25">
      <c r="A29" s="6"/>
      <c r="B29" s="61"/>
      <c r="C29" t="s">
        <v>311</v>
      </c>
      <c r="D29" s="51">
        <v>5070</v>
      </c>
      <c r="E29" s="54">
        <v>1080</v>
      </c>
      <c r="F29" s="49">
        <f t="shared" si="0"/>
        <v>5475600</v>
      </c>
      <c r="G29" s="51">
        <v>2.5000000000000001E-2</v>
      </c>
      <c r="I29" s="7"/>
      <c r="J29" s="7"/>
      <c r="K29" s="8"/>
      <c r="L29" s="24" t="s">
        <v>32</v>
      </c>
      <c r="N29" s="7"/>
      <c r="O29" s="7"/>
      <c r="P29" s="7"/>
      <c r="Q29" s="8"/>
      <c r="R29" s="6"/>
      <c r="S29" s="7"/>
      <c r="T29" s="7"/>
      <c r="U29" s="28" t="s">
        <v>56</v>
      </c>
      <c r="V29" s="28" t="s">
        <v>57</v>
      </c>
      <c r="W29" s="28" t="s">
        <v>58</v>
      </c>
      <c r="X29" s="7"/>
      <c r="Y29" s="7"/>
      <c r="Z29" s="8"/>
      <c r="AA29" s="6"/>
      <c r="AB29" s="12" t="s">
        <v>158</v>
      </c>
      <c r="AC29" s="36">
        <f>AD95</f>
        <v>7440.2069076305206</v>
      </c>
      <c r="AD29" s="36">
        <f t="shared" ref="AD29" si="1">AC29*$AB$39</f>
        <v>3571299.3156626499</v>
      </c>
      <c r="AE29" s="7"/>
      <c r="AF29" s="7"/>
      <c r="AG29" s="7" t="s">
        <v>164</v>
      </c>
      <c r="AH29" s="7" t="str">
        <f>IF(AD31&gt;AH26,"YES","NO")</f>
        <v>YES</v>
      </c>
      <c r="AI29" s="8"/>
    </row>
    <row r="30" spans="1:35" x14ac:dyDescent="0.2">
      <c r="A30" s="6"/>
      <c r="B30" s="61"/>
      <c r="C30" t="s">
        <v>7</v>
      </c>
      <c r="D30" s="49" t="s">
        <v>16</v>
      </c>
      <c r="E30" s="49" t="s">
        <v>16</v>
      </c>
      <c r="F30" s="49" t="s">
        <v>16</v>
      </c>
      <c r="G30" s="51">
        <v>0</v>
      </c>
      <c r="I30" s="7"/>
      <c r="J30" s="7"/>
      <c r="K30" s="8"/>
      <c r="L30" s="7"/>
      <c r="M30" s="12" t="s">
        <v>34</v>
      </c>
      <c r="N30" s="12" t="s">
        <v>35</v>
      </c>
      <c r="O30" s="12" t="s">
        <v>36</v>
      </c>
      <c r="P30" s="7"/>
      <c r="Q30" s="8"/>
      <c r="R30" s="6"/>
      <c r="T30" s="12"/>
      <c r="U30" s="28" t="s">
        <v>59</v>
      </c>
      <c r="V30" s="28" t="s">
        <v>60</v>
      </c>
      <c r="W30" s="28" t="s">
        <v>61</v>
      </c>
      <c r="X30" s="7" t="s">
        <v>177</v>
      </c>
      <c r="Y30" s="7"/>
      <c r="Z30" s="8"/>
      <c r="AA30" s="6"/>
      <c r="AB30" s="12" t="s">
        <v>159</v>
      </c>
      <c r="AC30" s="36">
        <f>AD103</f>
        <v>207320</v>
      </c>
      <c r="AD30" s="36">
        <f>AD104</f>
        <v>184514800</v>
      </c>
      <c r="AE30" s="7"/>
      <c r="AF30" s="7"/>
      <c r="AG30" s="7" t="s">
        <v>165</v>
      </c>
      <c r="AH30" s="15">
        <f>AD31/AH26</f>
        <v>2.8129302172927586</v>
      </c>
      <c r="AI30" s="8"/>
    </row>
    <row r="31" spans="1:35" x14ac:dyDescent="0.2">
      <c r="A31" s="6"/>
      <c r="B31" s="61"/>
      <c r="C31" t="s">
        <v>8</v>
      </c>
      <c r="D31" s="51" t="s">
        <v>16</v>
      </c>
      <c r="E31" s="49" t="s">
        <v>16</v>
      </c>
      <c r="F31" s="49" t="s">
        <v>16</v>
      </c>
      <c r="G31" s="51">
        <v>0</v>
      </c>
      <c r="I31" s="7"/>
      <c r="J31" s="7"/>
      <c r="K31" s="8"/>
      <c r="L31" s="7"/>
      <c r="M31" s="12" t="s">
        <v>33</v>
      </c>
      <c r="N31" s="12">
        <f>N32*N33</f>
        <v>1136</v>
      </c>
      <c r="O31" s="7"/>
      <c r="P31" s="7"/>
      <c r="Q31" s="8"/>
      <c r="R31" s="6"/>
      <c r="S31" s="33" t="s">
        <v>179</v>
      </c>
      <c r="T31" s="12" t="s">
        <v>62</v>
      </c>
      <c r="U31" s="7">
        <v>700</v>
      </c>
      <c r="V31" s="7">
        <v>1452</v>
      </c>
      <c r="W31" s="7">
        <f>U31*V31</f>
        <v>1016400</v>
      </c>
      <c r="X31" s="32" t="s">
        <v>178</v>
      </c>
      <c r="Y31" s="7"/>
      <c r="Z31" s="8"/>
      <c r="AA31" s="6"/>
      <c r="AB31" s="12" t="s">
        <v>160</v>
      </c>
      <c r="AC31" s="36">
        <f>SUM(AC25:AC30)</f>
        <v>1157610.873746617</v>
      </c>
      <c r="AD31" s="36">
        <f>SUM(AD25:AD30)</f>
        <v>637726154.69324028</v>
      </c>
      <c r="AE31" s="7"/>
      <c r="AF31" s="7"/>
      <c r="AG31" s="11" t="s">
        <v>235</v>
      </c>
      <c r="AH31" s="15">
        <f>(AD25+AD26+AD27+AD30)/AH26</f>
        <v>2.6963196548898822</v>
      </c>
      <c r="AI31" s="8"/>
    </row>
    <row r="32" spans="1:35" x14ac:dyDescent="0.2">
      <c r="A32" s="6"/>
      <c r="B32" s="61"/>
      <c r="C32" t="s">
        <v>277</v>
      </c>
      <c r="D32" s="51">
        <v>12000</v>
      </c>
      <c r="E32" s="54">
        <v>410</v>
      </c>
      <c r="F32" s="49">
        <f t="shared" si="0"/>
        <v>4920000</v>
      </c>
      <c r="G32" s="51">
        <v>1.4999999999999999E-2</v>
      </c>
      <c r="I32" s="7"/>
      <c r="J32" s="7"/>
      <c r="K32" s="8"/>
      <c r="L32" s="7"/>
      <c r="M32" s="7" t="s">
        <v>37</v>
      </c>
      <c r="N32" s="7">
        <v>284</v>
      </c>
      <c r="O32" s="7" t="s">
        <v>283</v>
      </c>
      <c r="P32" s="7"/>
      <c r="Q32" s="8"/>
      <c r="R32" s="6"/>
      <c r="S32" s="7"/>
      <c r="T32" s="12" t="s">
        <v>63</v>
      </c>
      <c r="U32" s="7">
        <v>700</v>
      </c>
      <c r="V32" s="7">
        <v>2151</v>
      </c>
      <c r="W32" s="7">
        <f>U32*V32</f>
        <v>1505700</v>
      </c>
      <c r="X32" s="32" t="s">
        <v>178</v>
      </c>
      <c r="Y32" s="7"/>
      <c r="Z32" s="8"/>
      <c r="AA32" s="6"/>
      <c r="AB32" s="7"/>
      <c r="AC32" s="7"/>
      <c r="AD32" s="7"/>
      <c r="AE32" s="7"/>
      <c r="AF32" s="7"/>
      <c r="AG32" s="11" t="s">
        <v>236</v>
      </c>
      <c r="AH32" s="15">
        <f>(SUM(AD25:AD26)+AD30)/AH26</f>
        <v>2.6364438735014755</v>
      </c>
      <c r="AI32" s="8"/>
    </row>
    <row r="33" spans="1:35" x14ac:dyDescent="0.2">
      <c r="A33" s="6"/>
      <c r="B33" s="61"/>
      <c r="C33" t="s">
        <v>278</v>
      </c>
      <c r="D33" s="49" t="s">
        <v>16</v>
      </c>
      <c r="E33" s="49" t="s">
        <v>16</v>
      </c>
      <c r="F33" s="49" t="s">
        <v>16</v>
      </c>
      <c r="G33" s="51">
        <v>3.5000000000000003E-2</v>
      </c>
      <c r="I33" s="7"/>
      <c r="J33" s="7"/>
      <c r="K33" s="8"/>
      <c r="L33" s="7"/>
      <c r="M33" s="7" t="s">
        <v>38</v>
      </c>
      <c r="N33" s="7">
        <v>4</v>
      </c>
      <c r="O33" s="7"/>
      <c r="P33" s="7"/>
      <c r="Q33" s="8"/>
      <c r="R33" s="6"/>
      <c r="S33" s="7"/>
      <c r="T33" s="12" t="s">
        <v>64</v>
      </c>
      <c r="U33" s="7"/>
      <c r="V33" s="7"/>
      <c r="W33" s="7">
        <v>373646.2</v>
      </c>
      <c r="X33" s="32" t="s">
        <v>178</v>
      </c>
      <c r="Y33" s="7"/>
      <c r="Z33" s="8"/>
      <c r="AA33" s="6"/>
      <c r="AB33" s="7"/>
      <c r="AC33" s="7"/>
      <c r="AD33" s="7"/>
      <c r="AE33" s="7"/>
      <c r="AF33" s="7"/>
      <c r="AG33" s="11" t="s">
        <v>237</v>
      </c>
      <c r="AH33" s="15">
        <f>(AD26+AD30)/AH26</f>
        <v>1.3774566113204005</v>
      </c>
      <c r="AI33" s="8"/>
    </row>
    <row r="34" spans="1:35" ht="16" customHeight="1" x14ac:dyDescent="0.2">
      <c r="A34" s="6"/>
      <c r="B34" s="63" t="s">
        <v>20</v>
      </c>
      <c r="C34" t="s">
        <v>10</v>
      </c>
      <c r="D34" s="51" t="s">
        <v>16</v>
      </c>
      <c r="E34" s="54">
        <v>2370</v>
      </c>
      <c r="F34" s="51" t="s">
        <v>16</v>
      </c>
      <c r="G34" s="51">
        <v>0.01</v>
      </c>
      <c r="H34" t="s">
        <v>19</v>
      </c>
      <c r="I34" s="7"/>
      <c r="J34" s="7"/>
      <c r="K34" s="8"/>
      <c r="L34" s="7"/>
      <c r="M34" s="12" t="s">
        <v>40</v>
      </c>
      <c r="N34" s="12">
        <f>3.39+2.16</f>
        <v>5.5500000000000007</v>
      </c>
      <c r="O34" s="7" t="s">
        <v>284</v>
      </c>
      <c r="P34" s="7"/>
      <c r="Q34" s="8"/>
      <c r="R34" s="6"/>
      <c r="S34" s="7"/>
      <c r="T34" s="12" t="s">
        <v>65</v>
      </c>
      <c r="U34" s="7">
        <f>N31*3</f>
        <v>3408</v>
      </c>
      <c r="V34" s="7">
        <v>1122</v>
      </c>
      <c r="W34" s="7">
        <f>U34*V34</f>
        <v>3823776</v>
      </c>
      <c r="X34" s="32" t="s">
        <v>178</v>
      </c>
      <c r="Y34" s="7"/>
      <c r="Z34" s="8"/>
      <c r="AA34" s="6"/>
      <c r="AB34" s="7"/>
      <c r="AC34" s="7"/>
      <c r="AD34" s="7"/>
      <c r="AE34" s="7"/>
      <c r="AF34" s="7"/>
      <c r="AG34" s="7"/>
      <c r="AH34" s="7"/>
      <c r="AI34" s="8"/>
    </row>
    <row r="35" spans="1:35" ht="16" customHeight="1" x14ac:dyDescent="0.2">
      <c r="A35" s="6"/>
      <c r="B35" s="63"/>
      <c r="C35" t="s">
        <v>11</v>
      </c>
      <c r="D35" s="51" t="s">
        <v>16</v>
      </c>
      <c r="E35" s="54">
        <v>1730</v>
      </c>
      <c r="F35" s="51" t="s">
        <v>16</v>
      </c>
      <c r="G35" s="51">
        <v>0.01</v>
      </c>
      <c r="H35" t="s">
        <v>19</v>
      </c>
      <c r="I35" s="7"/>
      <c r="J35" s="7"/>
      <c r="K35" s="8"/>
      <c r="L35" s="7"/>
      <c r="M35" s="7" t="s">
        <v>39</v>
      </c>
      <c r="N35" s="7">
        <f>N34/N31</f>
        <v>4.8855633802816906E-3</v>
      </c>
      <c r="O35" s="7"/>
      <c r="P35" s="7"/>
      <c r="Q35" s="8"/>
      <c r="R35" s="6"/>
      <c r="S35" s="7"/>
      <c r="T35" s="12" t="s">
        <v>121</v>
      </c>
      <c r="U35" s="7" t="s">
        <v>122</v>
      </c>
      <c r="V35" s="7">
        <v>890</v>
      </c>
      <c r="W35" s="7" t="s">
        <v>122</v>
      </c>
      <c r="X35" s="43" t="s">
        <v>113</v>
      </c>
      <c r="Y35" s="7"/>
      <c r="Z35" s="8"/>
      <c r="AA35" s="6"/>
      <c r="AB35" s="7"/>
      <c r="AC35" s="7"/>
      <c r="AD35" s="7"/>
      <c r="AE35" s="7"/>
      <c r="AF35" s="7"/>
      <c r="AG35" s="7"/>
      <c r="AH35" s="7"/>
      <c r="AI35" s="8"/>
    </row>
    <row r="36" spans="1:35" x14ac:dyDescent="0.2">
      <c r="A36" s="6"/>
      <c r="B36" s="63"/>
      <c r="C36" t="s">
        <v>12</v>
      </c>
      <c r="D36" s="51" t="s">
        <v>16</v>
      </c>
      <c r="E36" s="54">
        <v>1201</v>
      </c>
      <c r="F36" s="51" t="s">
        <v>16</v>
      </c>
      <c r="G36" s="51">
        <v>5.0000000000000001E-3</v>
      </c>
      <c r="I36" s="7"/>
      <c r="J36" s="7"/>
      <c r="K36" s="8"/>
      <c r="L36" s="7"/>
      <c r="M36" s="7"/>
      <c r="N36" s="7"/>
      <c r="O36" s="7"/>
      <c r="P36" s="7"/>
      <c r="Q36" s="8"/>
      <c r="R36" s="6"/>
      <c r="S36" s="7"/>
      <c r="T36" s="7"/>
      <c r="U36" s="7"/>
      <c r="V36" s="7"/>
      <c r="W36" s="7"/>
      <c r="X36" s="7"/>
      <c r="Y36" s="7"/>
      <c r="Z36" s="8"/>
      <c r="AA36" s="6"/>
      <c r="AB36" s="7"/>
      <c r="AC36" s="7"/>
      <c r="AD36" s="7"/>
      <c r="AE36" s="7"/>
      <c r="AF36" s="7"/>
      <c r="AG36" s="7"/>
      <c r="AH36" s="7"/>
      <c r="AI36" s="8"/>
    </row>
    <row r="37" spans="1:35" x14ac:dyDescent="0.2">
      <c r="A37" s="6"/>
      <c r="B37" s="63"/>
      <c r="C37" t="s">
        <v>13</v>
      </c>
      <c r="D37" s="51" t="s">
        <v>16</v>
      </c>
      <c r="E37" s="54">
        <v>1340</v>
      </c>
      <c r="F37" s="51" t="s">
        <v>16</v>
      </c>
      <c r="G37" s="51">
        <v>1E-3</v>
      </c>
      <c r="H37" t="s">
        <v>242</v>
      </c>
      <c r="I37" s="7"/>
      <c r="J37" s="7"/>
      <c r="K37" s="8"/>
      <c r="L37" s="7"/>
      <c r="M37" s="40" t="s">
        <v>239</v>
      </c>
      <c r="N37" s="12" t="s">
        <v>282</v>
      </c>
      <c r="O37" s="7"/>
      <c r="P37" s="7"/>
      <c r="Q37" s="8"/>
      <c r="R37" s="6"/>
      <c r="S37" s="7"/>
      <c r="T37" s="7"/>
      <c r="U37" s="7"/>
      <c r="V37" s="7"/>
      <c r="W37" s="7"/>
      <c r="X37" s="7"/>
      <c r="Y37" s="7"/>
      <c r="Z37" s="8"/>
      <c r="AB37" s="7"/>
      <c r="AC37" s="34"/>
      <c r="AD37" s="34"/>
      <c r="AF37" s="7"/>
      <c r="AG37" s="7"/>
      <c r="AH37" s="7"/>
      <c r="AI37" s="8"/>
    </row>
    <row r="38" spans="1:35" x14ac:dyDescent="0.2">
      <c r="A38" s="6"/>
      <c r="B38" s="63"/>
      <c r="C38" t="s">
        <v>268</v>
      </c>
      <c r="D38" s="51" t="s">
        <v>16</v>
      </c>
      <c r="E38" s="54">
        <v>1480</v>
      </c>
      <c r="F38" s="51" t="s">
        <v>16</v>
      </c>
      <c r="G38" s="51">
        <v>1E-3</v>
      </c>
      <c r="I38" s="7"/>
      <c r="J38" s="7"/>
      <c r="K38" s="8"/>
      <c r="L38" s="7"/>
      <c r="M38" s="40" t="s">
        <v>240</v>
      </c>
      <c r="N38" s="12">
        <f>N31</f>
        <v>1136</v>
      </c>
      <c r="O38" s="7"/>
      <c r="P38" s="7"/>
      <c r="Q38" s="8"/>
      <c r="R38" s="6"/>
      <c r="S38" s="7"/>
      <c r="T38" s="7"/>
      <c r="U38" s="7"/>
      <c r="V38" s="7"/>
      <c r="W38" s="7"/>
      <c r="X38" s="7"/>
      <c r="Y38" s="7"/>
      <c r="Z38" s="8"/>
      <c r="AB38" s="7"/>
      <c r="AC38" s="34"/>
      <c r="AD38" s="34"/>
      <c r="AF38" s="7"/>
      <c r="AG38" s="7"/>
      <c r="AH38" s="7"/>
      <c r="AI38" s="8"/>
    </row>
    <row r="39" spans="1:35" ht="16" customHeight="1" x14ac:dyDescent="0.2">
      <c r="A39" s="6"/>
      <c r="B39" s="63"/>
      <c r="C39" t="s">
        <v>217</v>
      </c>
      <c r="D39" s="51" t="s">
        <v>16</v>
      </c>
      <c r="E39" s="54">
        <v>1600</v>
      </c>
      <c r="F39" s="51" t="s">
        <v>16</v>
      </c>
      <c r="G39" s="51">
        <v>1.4E-2</v>
      </c>
      <c r="I39" s="7"/>
      <c r="J39" s="7"/>
      <c r="K39" s="8"/>
      <c r="L39" s="23"/>
      <c r="M39" s="9"/>
      <c r="N39" s="9"/>
      <c r="O39" s="9"/>
      <c r="P39" s="9"/>
      <c r="Q39" s="10"/>
      <c r="R39" s="6"/>
      <c r="S39" s="7"/>
      <c r="T39" s="7"/>
      <c r="U39" s="7"/>
      <c r="V39" s="7"/>
      <c r="W39" s="7"/>
      <c r="X39" s="7"/>
      <c r="Y39" s="7"/>
      <c r="Z39" s="8"/>
      <c r="AA39" s="21" t="s">
        <v>186</v>
      </c>
      <c r="AB39" s="34">
        <v>480</v>
      </c>
      <c r="AC39" s="35" t="s">
        <v>225</v>
      </c>
      <c r="AD39" s="7"/>
      <c r="AE39" s="7"/>
      <c r="AF39" s="7"/>
      <c r="AG39" s="7"/>
      <c r="AH39" s="7"/>
      <c r="AI39" s="8"/>
    </row>
    <row r="40" spans="1:35" x14ac:dyDescent="0.2">
      <c r="A40" s="6"/>
      <c r="B40" s="63" t="s">
        <v>21</v>
      </c>
      <c r="C40" t="s">
        <v>14</v>
      </c>
      <c r="D40" s="51" t="s">
        <v>16</v>
      </c>
      <c r="E40" s="54">
        <v>2370</v>
      </c>
      <c r="F40" s="51" t="s">
        <v>16</v>
      </c>
      <c r="G40" s="51">
        <v>1.4E-2</v>
      </c>
      <c r="I40" s="7"/>
      <c r="J40" s="7"/>
      <c r="K40" s="8"/>
      <c r="L40" s="7"/>
      <c r="M40" s="7"/>
      <c r="N40" s="7"/>
      <c r="O40" s="7"/>
      <c r="P40" s="7"/>
      <c r="Q40" s="8"/>
      <c r="R40" s="26"/>
      <c r="S40" s="4"/>
      <c r="T40" s="4"/>
      <c r="U40" s="4"/>
      <c r="V40" s="5"/>
      <c r="W40" s="4"/>
      <c r="X40" s="4"/>
      <c r="Y40" s="4"/>
      <c r="Z40" s="5"/>
      <c r="AA40" s="21" t="s">
        <v>223</v>
      </c>
      <c r="AB40" s="7">
        <v>241</v>
      </c>
      <c r="AC40" s="7" t="s">
        <v>224</v>
      </c>
      <c r="AD40" s="7"/>
      <c r="AE40" s="7"/>
      <c r="AF40" s="7"/>
      <c r="AG40" s="7"/>
      <c r="AH40" s="7"/>
      <c r="AI40" s="8"/>
    </row>
    <row r="41" spans="1:35" ht="19" x14ac:dyDescent="0.25">
      <c r="A41" s="6"/>
      <c r="B41" s="63"/>
      <c r="C41" t="s">
        <v>15</v>
      </c>
      <c r="D41" s="51" t="s">
        <v>16</v>
      </c>
      <c r="E41" s="54">
        <v>890</v>
      </c>
      <c r="F41" s="51" t="s">
        <v>16</v>
      </c>
      <c r="G41" s="51">
        <v>1.6E-2</v>
      </c>
      <c r="I41" s="7"/>
      <c r="J41" s="7"/>
      <c r="K41" s="8"/>
      <c r="L41" s="24" t="s">
        <v>180</v>
      </c>
      <c r="M41" s="7"/>
      <c r="N41" s="7"/>
      <c r="O41" s="7"/>
      <c r="P41" s="7"/>
      <c r="Q41" s="8"/>
      <c r="R41" s="37" t="s">
        <v>188</v>
      </c>
      <c r="S41" s="7"/>
      <c r="T41" s="7"/>
      <c r="U41" s="7"/>
      <c r="V41" s="8"/>
      <c r="Z41" s="8"/>
      <c r="AA41" s="6"/>
      <c r="AB41" s="7"/>
      <c r="AC41" s="7"/>
      <c r="AD41" s="7"/>
      <c r="AE41" s="7"/>
      <c r="AF41" s="7"/>
      <c r="AG41" s="7"/>
      <c r="AH41" s="7"/>
      <c r="AI41" s="8"/>
    </row>
    <row r="42" spans="1:35" x14ac:dyDescent="0.2">
      <c r="A42" s="6"/>
      <c r="B42" s="63"/>
      <c r="C42" t="s">
        <v>279</v>
      </c>
      <c r="D42" s="51" t="s">
        <v>16</v>
      </c>
      <c r="E42" s="54">
        <v>1201</v>
      </c>
      <c r="F42" s="51" t="s">
        <v>16</v>
      </c>
      <c r="G42" s="51">
        <v>3.2000000000000001E-2</v>
      </c>
      <c r="H42" t="s">
        <v>171</v>
      </c>
      <c r="I42" s="7"/>
      <c r="J42" s="7"/>
      <c r="K42" s="8"/>
      <c r="L42" s="7"/>
      <c r="M42" s="12" t="s">
        <v>86</v>
      </c>
      <c r="N42" s="12">
        <v>12.9</v>
      </c>
      <c r="O42" s="32" t="s">
        <v>181</v>
      </c>
      <c r="P42" s="7"/>
      <c r="Q42" s="8"/>
      <c r="R42" s="52"/>
      <c r="S42" s="52" t="s">
        <v>193</v>
      </c>
      <c r="T42" s="28" t="s">
        <v>194</v>
      </c>
      <c r="U42" s="7"/>
      <c r="V42" s="8"/>
      <c r="Z42" s="8"/>
      <c r="AA42" s="6"/>
      <c r="AB42" s="7"/>
      <c r="AC42" s="7"/>
      <c r="AD42" s="7"/>
      <c r="AE42" s="7"/>
      <c r="AF42" s="7"/>
      <c r="AG42" s="7"/>
      <c r="AH42" s="7"/>
      <c r="AI42" s="8"/>
    </row>
    <row r="43" spans="1:35" x14ac:dyDescent="0.2">
      <c r="A43" s="6"/>
      <c r="B43" s="63"/>
      <c r="C43" t="s">
        <v>280</v>
      </c>
      <c r="D43" s="51" t="s">
        <v>16</v>
      </c>
      <c r="E43" s="54">
        <v>830</v>
      </c>
      <c r="F43" s="51" t="s">
        <v>16</v>
      </c>
      <c r="G43" s="51">
        <v>0.06</v>
      </c>
      <c r="I43" s="7"/>
      <c r="J43" s="7"/>
      <c r="K43" s="8"/>
      <c r="L43" s="7"/>
      <c r="M43" s="12" t="s">
        <v>85</v>
      </c>
      <c r="N43" s="12">
        <v>1.29</v>
      </c>
      <c r="O43" s="7"/>
      <c r="P43" s="7"/>
      <c r="Q43" s="8"/>
      <c r="R43" s="38" t="s">
        <v>189</v>
      </c>
      <c r="S43" s="28" t="s">
        <v>190</v>
      </c>
      <c r="T43" s="28" t="s">
        <v>195</v>
      </c>
      <c r="U43" s="7"/>
      <c r="V43" s="8"/>
      <c r="Z43" s="8"/>
      <c r="AA43" s="6"/>
      <c r="AB43" s="7"/>
      <c r="AC43" s="7"/>
      <c r="AD43" s="7"/>
      <c r="AE43" s="7"/>
      <c r="AF43" s="7"/>
      <c r="AG43" s="7"/>
      <c r="AH43" s="7"/>
      <c r="AI43" s="8"/>
    </row>
    <row r="44" spans="1:35" x14ac:dyDescent="0.2">
      <c r="A44" s="6"/>
      <c r="F44" s="29" t="s">
        <v>160</v>
      </c>
      <c r="G44" s="42">
        <f>SUM(G25:G43)</f>
        <v>1.0000000000000002</v>
      </c>
      <c r="I44" s="7"/>
      <c r="J44" s="7"/>
      <c r="K44" s="8"/>
      <c r="L44" s="7"/>
      <c r="M44" s="12" t="s">
        <v>79</v>
      </c>
      <c r="N44" s="12">
        <v>20</v>
      </c>
      <c r="O44" s="7"/>
      <c r="P44" s="7"/>
      <c r="Q44" s="8"/>
      <c r="R44" s="38" t="s">
        <v>191</v>
      </c>
      <c r="S44" s="28" t="s">
        <v>192</v>
      </c>
      <c r="T44" s="28" t="s">
        <v>196</v>
      </c>
      <c r="U44" s="7"/>
      <c r="V44" s="8"/>
      <c r="Z44" s="8"/>
      <c r="AA44" s="6"/>
      <c r="AB44" s="7"/>
      <c r="AC44" s="7"/>
      <c r="AD44" s="7"/>
      <c r="AE44" s="7"/>
      <c r="AF44" s="7"/>
      <c r="AG44" s="7"/>
      <c r="AH44" s="7"/>
      <c r="AI44" s="8"/>
    </row>
    <row r="45" spans="1:35" x14ac:dyDescent="0.2">
      <c r="A45" s="23"/>
      <c r="B45" s="9"/>
      <c r="C45" s="9"/>
      <c r="D45" s="9"/>
      <c r="E45" s="9"/>
      <c r="F45" s="9"/>
      <c r="G45" s="9"/>
      <c r="H45" s="9"/>
      <c r="I45" s="9"/>
      <c r="J45" s="9"/>
      <c r="K45" s="10"/>
      <c r="L45" s="9"/>
      <c r="M45" s="9"/>
      <c r="N45" s="9"/>
      <c r="O45" s="9"/>
      <c r="P45" s="9"/>
      <c r="Q45" s="10"/>
      <c r="R45" s="23"/>
      <c r="S45" s="9"/>
      <c r="T45" s="9"/>
      <c r="U45" s="9"/>
      <c r="V45" s="10"/>
      <c r="W45" s="9"/>
      <c r="X45" s="9"/>
      <c r="Y45" s="9"/>
      <c r="Z45" s="10"/>
      <c r="AA45" s="23"/>
      <c r="AB45" s="9"/>
      <c r="AC45" s="9"/>
      <c r="AD45" s="9"/>
      <c r="AE45" s="9"/>
      <c r="AF45" s="9"/>
      <c r="AG45" s="9"/>
      <c r="AH45" s="9"/>
      <c r="AI45" s="10"/>
    </row>
    <row r="46" spans="1:35" x14ac:dyDescent="0.2">
      <c r="K46" s="5"/>
      <c r="Q46" s="5"/>
      <c r="V46" s="5"/>
      <c r="Z46" s="5"/>
      <c r="AA46" s="26"/>
      <c r="AB46" s="4"/>
      <c r="AC46" s="4"/>
      <c r="AD46" s="4"/>
      <c r="AE46" s="4"/>
      <c r="AF46" s="4"/>
      <c r="AG46" s="4"/>
      <c r="AH46" s="4"/>
      <c r="AI46" s="5"/>
    </row>
    <row r="47" spans="1:35" ht="19" x14ac:dyDescent="0.25">
      <c r="A47" s="1" t="s">
        <v>173</v>
      </c>
      <c r="K47" s="8"/>
      <c r="L47" s="1" t="s">
        <v>175</v>
      </c>
      <c r="Q47" s="8"/>
      <c r="R47" s="1" t="s">
        <v>182</v>
      </c>
      <c r="T47" s="29" t="s">
        <v>197</v>
      </c>
      <c r="U47" s="3">
        <f>SUM(T58,T70,T82)</f>
        <v>85.199999999999989</v>
      </c>
      <c r="V47" s="8"/>
      <c r="W47" s="1" t="s">
        <v>75</v>
      </c>
      <c r="Z47" s="8"/>
      <c r="AA47" s="44" t="s">
        <v>185</v>
      </c>
      <c r="AB47" s="7"/>
      <c r="AC47" s="7"/>
      <c r="AD47" s="7"/>
      <c r="AE47" s="7"/>
      <c r="AF47" s="7"/>
      <c r="AG47" s="7"/>
      <c r="AH47" s="7"/>
      <c r="AI47" s="8"/>
    </row>
    <row r="48" spans="1:35" x14ac:dyDescent="0.2">
      <c r="B48" s="3" t="s">
        <v>5</v>
      </c>
      <c r="D48" s="29" t="s">
        <v>174</v>
      </c>
      <c r="E48" s="3">
        <f>SUM(D54,G50)</f>
        <v>97.017834415944108</v>
      </c>
      <c r="K48" s="8"/>
      <c r="L48" s="29" t="s">
        <v>66</v>
      </c>
      <c r="Q48" s="8"/>
      <c r="R48" s="3" t="s">
        <v>78</v>
      </c>
      <c r="V48" s="8"/>
      <c r="X48" t="s">
        <v>219</v>
      </c>
      <c r="Y48">
        <f>(100000/19422.03)*100</f>
        <v>514.87923764920561</v>
      </c>
      <c r="Z48" s="8" t="s">
        <v>287</v>
      </c>
      <c r="AA48" s="6"/>
      <c r="AB48" s="7"/>
      <c r="AC48" s="7"/>
      <c r="AD48" s="7"/>
      <c r="AE48" s="7"/>
      <c r="AF48" s="7"/>
      <c r="AG48" s="7"/>
      <c r="AH48" s="7"/>
      <c r="AI48" s="8"/>
    </row>
    <row r="49" spans="1:35" x14ac:dyDescent="0.2">
      <c r="C49" t="s">
        <v>22</v>
      </c>
      <c r="D49">
        <f>N25*G25</f>
        <v>260931.20000000001</v>
      </c>
      <c r="F49" t="s">
        <v>206</v>
      </c>
      <c r="G49">
        <v>0.3</v>
      </c>
      <c r="K49" s="8"/>
      <c r="M49" t="s">
        <v>67</v>
      </c>
      <c r="N49">
        <f>N25*G34</f>
        <v>8154.1</v>
      </c>
      <c r="Q49" s="8"/>
      <c r="V49" s="8"/>
      <c r="X49" t="s">
        <v>76</v>
      </c>
      <c r="Y49">
        <f>Y48/100/100</f>
        <v>5.1487923764920562E-2</v>
      </c>
      <c r="Z49" s="8"/>
      <c r="AA49" s="6"/>
      <c r="AB49" s="12" t="s">
        <v>5</v>
      </c>
      <c r="AC49" s="7"/>
      <c r="AD49" s="7"/>
      <c r="AE49" s="7"/>
      <c r="AF49" s="7"/>
      <c r="AG49" s="7"/>
      <c r="AH49" s="7"/>
      <c r="AI49" s="8"/>
    </row>
    <row r="50" spans="1:35" x14ac:dyDescent="0.2">
      <c r="C50" t="s">
        <v>23</v>
      </c>
      <c r="D50">
        <v>0.02</v>
      </c>
      <c r="E50" s="16" t="s">
        <v>41</v>
      </c>
      <c r="F50" t="s">
        <v>207</v>
      </c>
      <c r="G50" s="18">
        <f>G49*D54</f>
        <v>22.388731019064025</v>
      </c>
      <c r="K50" s="8"/>
      <c r="M50" t="s">
        <v>48</v>
      </c>
      <c r="N50">
        <f>N49/E34</f>
        <v>3.4405485232067514</v>
      </c>
      <c r="Q50" s="8"/>
      <c r="S50" t="s">
        <v>204</v>
      </c>
      <c r="T50">
        <v>8</v>
      </c>
      <c r="U50" t="s">
        <v>286</v>
      </c>
      <c r="V50" s="8"/>
      <c r="X50" t="s">
        <v>77</v>
      </c>
      <c r="Y50">
        <f>1/Y49</f>
        <v>19.422029999999999</v>
      </c>
      <c r="Z50" s="8"/>
      <c r="AA50" s="6"/>
      <c r="AB50" s="7"/>
      <c r="AC50" s="7" t="s">
        <v>119</v>
      </c>
      <c r="AD50" s="13">
        <f>650*10000</f>
        <v>6500000</v>
      </c>
      <c r="AE50" s="7"/>
      <c r="AF50" s="7"/>
      <c r="AG50" s="7"/>
      <c r="AH50" s="7"/>
      <c r="AI50" s="8"/>
    </row>
    <row r="51" spans="1:35" x14ac:dyDescent="0.2">
      <c r="C51" t="s">
        <v>24</v>
      </c>
      <c r="D51">
        <v>0.3</v>
      </c>
      <c r="K51" s="8"/>
      <c r="M51" t="s">
        <v>68</v>
      </c>
      <c r="N51">
        <f>N50/X25/T24</f>
        <v>0.34439925157224738</v>
      </c>
      <c r="Q51" s="8"/>
      <c r="S51" t="s">
        <v>205</v>
      </c>
      <c r="T51">
        <f>T50*1000</f>
        <v>8000</v>
      </c>
      <c r="U51" t="s">
        <v>178</v>
      </c>
      <c r="V51" s="8"/>
      <c r="X51" t="s">
        <v>221</v>
      </c>
      <c r="Y51">
        <f>SUM(G40:G42)</f>
        <v>6.2E-2</v>
      </c>
      <c r="Z51" s="8"/>
      <c r="AA51" s="6"/>
      <c r="AB51" s="7"/>
      <c r="AC51" s="7" t="s">
        <v>111</v>
      </c>
      <c r="AD51">
        <v>0.79600000000000004</v>
      </c>
      <c r="AE51" s="7" t="s">
        <v>178</v>
      </c>
      <c r="AF51" s="7"/>
      <c r="AG51" s="7"/>
      <c r="AH51" s="7"/>
      <c r="AI51" s="8"/>
    </row>
    <row r="52" spans="1:35" x14ac:dyDescent="0.2">
      <c r="C52" t="s">
        <v>25</v>
      </c>
      <c r="D52" s="18">
        <f>F25*(1-(SUM(D50:D51)))</f>
        <v>3971879.9999999995</v>
      </c>
      <c r="K52" s="8"/>
      <c r="M52" t="s">
        <v>69</v>
      </c>
      <c r="N52">
        <f>(70*(N51*T24)^0.75)*365</f>
        <v>199570.77280099536</v>
      </c>
      <c r="Q52" s="8"/>
      <c r="S52" t="s">
        <v>203</v>
      </c>
      <c r="T52">
        <f>T51/N44</f>
        <v>400</v>
      </c>
      <c r="V52" s="8"/>
      <c r="X52" s="3" t="s">
        <v>220</v>
      </c>
      <c r="Y52" s="3">
        <f>Y51*Y50*N38</f>
        <v>1367.93241696</v>
      </c>
      <c r="Z52" s="8"/>
      <c r="AA52" s="6"/>
      <c r="AB52" s="7"/>
      <c r="AC52" s="7" t="s">
        <v>112</v>
      </c>
      <c r="AD52">
        <v>0.1</v>
      </c>
      <c r="AE52" s="7" t="s">
        <v>113</v>
      </c>
      <c r="AF52" s="7"/>
      <c r="AG52" s="7"/>
      <c r="AH52" s="7"/>
      <c r="AI52" s="8"/>
    </row>
    <row r="53" spans="1:35" x14ac:dyDescent="0.2">
      <c r="C53" t="s">
        <v>26</v>
      </c>
      <c r="D53" s="18">
        <f>D49/D52</f>
        <v>6.5694633271901476E-2</v>
      </c>
      <c r="K53" s="8"/>
      <c r="M53" t="s">
        <v>124</v>
      </c>
      <c r="N53">
        <v>0.9</v>
      </c>
      <c r="O53" s="60">
        <f>SUM(N53:N54)</f>
        <v>1</v>
      </c>
      <c r="Q53" s="8"/>
      <c r="S53" t="s">
        <v>202</v>
      </c>
      <c r="T53">
        <v>551</v>
      </c>
      <c r="V53" s="8"/>
      <c r="Z53" s="8"/>
      <c r="AA53" s="6"/>
      <c r="AB53" s="7"/>
      <c r="AC53" s="7" t="s">
        <v>198</v>
      </c>
      <c r="AD53">
        <f>(AD50)*AD51*(1-AD52)/0.45</f>
        <v>10348000</v>
      </c>
      <c r="AE53" s="7" t="s">
        <v>199</v>
      </c>
      <c r="AF53" s="7"/>
      <c r="AG53" s="7"/>
      <c r="AH53" s="7"/>
      <c r="AI53" s="8"/>
    </row>
    <row r="54" spans="1:35" x14ac:dyDescent="0.2">
      <c r="C54" t="s">
        <v>27</v>
      </c>
      <c r="D54" s="18">
        <f>D53*N38</f>
        <v>74.629103396880083</v>
      </c>
      <c r="K54" s="8"/>
      <c r="M54" t="s">
        <v>70</v>
      </c>
      <c r="N54">
        <v>0.1</v>
      </c>
      <c r="O54" s="60"/>
      <c r="Q54" s="8"/>
      <c r="S54" t="s">
        <v>80</v>
      </c>
      <c r="T54">
        <f>T53*N44/1000</f>
        <v>11.02</v>
      </c>
      <c r="V54" s="8"/>
      <c r="W54" s="23"/>
      <c r="X54" s="9"/>
      <c r="Y54" s="9"/>
      <c r="Z54" s="10"/>
      <c r="AA54" s="6"/>
      <c r="AB54" s="7"/>
      <c r="AC54" s="7" t="s">
        <v>114</v>
      </c>
      <c r="AD54">
        <v>0.23</v>
      </c>
      <c r="AE54" s="7"/>
      <c r="AF54" s="7"/>
      <c r="AG54" s="7"/>
      <c r="AH54" s="7"/>
      <c r="AI54" s="8"/>
    </row>
    <row r="55" spans="1:35" x14ac:dyDescent="0.2">
      <c r="A55" s="9"/>
      <c r="B55" s="9"/>
      <c r="C55" s="9"/>
      <c r="D55" s="9"/>
      <c r="E55" s="9"/>
      <c r="F55" s="9"/>
      <c r="G55" s="9"/>
      <c r="H55" s="9"/>
      <c r="I55" s="9"/>
      <c r="J55" s="9"/>
      <c r="K55" s="10"/>
      <c r="Q55" s="8"/>
      <c r="S55" t="s">
        <v>81</v>
      </c>
      <c r="T55">
        <f>AVERAGE(T52,T53)</f>
        <v>475.5</v>
      </c>
      <c r="V55" s="8"/>
      <c r="Z55" s="8"/>
      <c r="AA55" s="6"/>
      <c r="AB55" s="7"/>
      <c r="AC55" s="7" t="s">
        <v>200</v>
      </c>
      <c r="AD55" s="17">
        <f>AD53*(1-AD54)*(D53)</f>
        <v>523452.21012518008</v>
      </c>
      <c r="AE55" s="7"/>
      <c r="AF55" s="7"/>
      <c r="AG55" s="7"/>
      <c r="AH55" s="7"/>
      <c r="AI55" s="8"/>
    </row>
    <row r="56" spans="1:35" x14ac:dyDescent="0.2">
      <c r="K56" s="8"/>
      <c r="M56" t="s">
        <v>71</v>
      </c>
      <c r="N56">
        <f>(N54*N52)/W33</f>
        <v>5.341169609138146E-2</v>
      </c>
      <c r="Q56" s="8"/>
      <c r="S56" t="s">
        <v>82</v>
      </c>
      <c r="T56">
        <f>T55*N38</f>
        <v>540168</v>
      </c>
      <c r="V56" s="8"/>
      <c r="Z56" s="8"/>
      <c r="AA56" s="6"/>
      <c r="AB56" s="7"/>
      <c r="AC56" s="7" t="s">
        <v>201</v>
      </c>
      <c r="AD56">
        <f>AD55*N31</f>
        <v>594641710.70220459</v>
      </c>
      <c r="AE56" s="7"/>
      <c r="AF56" s="7"/>
      <c r="AG56" s="7"/>
      <c r="AH56" s="7"/>
      <c r="AI56" s="8"/>
    </row>
    <row r="57" spans="1:35" ht="19" x14ac:dyDescent="0.25">
      <c r="B57" s="3" t="s">
        <v>107</v>
      </c>
      <c r="D57" s="3" t="s">
        <v>43</v>
      </c>
      <c r="E57" s="53">
        <f>D64+(D72-G69)+(D80-G77)+G64+(D88+G83)</f>
        <v>120.10827171695908</v>
      </c>
      <c r="K57" s="8"/>
      <c r="M57" t="s">
        <v>72</v>
      </c>
      <c r="N57">
        <f>SUM(N55:N56)</f>
        <v>5.341169609138146E-2</v>
      </c>
      <c r="Q57" s="8"/>
      <c r="S57" t="s">
        <v>83</v>
      </c>
      <c r="T57">
        <f>T56/N43</f>
        <v>418734.8837209302</v>
      </c>
      <c r="V57" s="8"/>
      <c r="W57" s="27"/>
      <c r="Z57" s="8"/>
      <c r="AA57" s="6"/>
      <c r="AB57" s="7"/>
      <c r="AC57" s="7"/>
      <c r="AD57" s="7"/>
      <c r="AE57" s="7"/>
      <c r="AF57" s="7"/>
      <c r="AG57" s="7"/>
      <c r="AH57" s="7"/>
      <c r="AI57" s="8"/>
    </row>
    <row r="58" spans="1:35" x14ac:dyDescent="0.2">
      <c r="C58" s="3" t="s">
        <v>318</v>
      </c>
      <c r="K58" s="8"/>
      <c r="M58" s="3" t="s">
        <v>73</v>
      </c>
      <c r="N58" s="3">
        <f>N57*N31</f>
        <v>60.675686759809338</v>
      </c>
      <c r="Q58" s="8"/>
      <c r="S58" t="s">
        <v>84</v>
      </c>
      <c r="T58">
        <f>T57/10000</f>
        <v>41.873488372093021</v>
      </c>
      <c r="V58" s="8"/>
      <c r="X58" s="7"/>
      <c r="Y58" s="7"/>
      <c r="Z58" s="8"/>
      <c r="AA58" s="6"/>
      <c r="AB58" s="12" t="s">
        <v>116</v>
      </c>
      <c r="AC58" s="7"/>
      <c r="AD58" s="7"/>
      <c r="AE58" s="7"/>
      <c r="AF58" s="7"/>
      <c r="AG58" s="7"/>
      <c r="AH58" s="7"/>
      <c r="AI58" s="8"/>
    </row>
    <row r="59" spans="1:35" x14ac:dyDescent="0.2">
      <c r="C59" t="s">
        <v>22</v>
      </c>
      <c r="D59">
        <f>G28*N25</f>
        <v>171236.1</v>
      </c>
      <c r="F59" t="s">
        <v>210</v>
      </c>
      <c r="K59" s="8"/>
      <c r="M59" s="3" t="s">
        <v>74</v>
      </c>
      <c r="N59" s="3">
        <f>N51*N31</f>
        <v>391.23754978607303</v>
      </c>
      <c r="Q59" s="8"/>
      <c r="V59" s="8"/>
      <c r="X59" s="39"/>
      <c r="Y59" s="7"/>
      <c r="Z59" s="8"/>
      <c r="AA59" s="6"/>
      <c r="AB59" s="7"/>
      <c r="AC59" s="7" t="s">
        <v>110</v>
      </c>
      <c r="AD59" s="13">
        <f>650*10000</f>
        <v>6500000</v>
      </c>
      <c r="AE59" s="7"/>
      <c r="AF59" s="7"/>
      <c r="AH59" s="7"/>
      <c r="AI59" s="8"/>
    </row>
    <row r="60" spans="1:35" x14ac:dyDescent="0.2">
      <c r="C60" t="s">
        <v>23</v>
      </c>
      <c r="D60">
        <v>0.1</v>
      </c>
      <c r="F60" t="s">
        <v>42</v>
      </c>
      <c r="G60">
        <v>0.1</v>
      </c>
      <c r="K60" s="8"/>
      <c r="M60" s="3" t="s">
        <v>123</v>
      </c>
      <c r="N60" s="3">
        <f>N59*(N52/N51)</f>
        <v>226712397.90193072</v>
      </c>
      <c r="Q60" s="8"/>
      <c r="V60" s="8"/>
      <c r="W60" s="7"/>
      <c r="X60" s="7"/>
      <c r="Y60" s="7"/>
      <c r="Z60" s="8"/>
      <c r="AA60" s="6"/>
      <c r="AB60" s="7"/>
      <c r="AC60" s="7" t="s">
        <v>111</v>
      </c>
      <c r="AD60" s="7">
        <v>0.6</v>
      </c>
      <c r="AE60" t="s">
        <v>231</v>
      </c>
      <c r="AF60" s="7"/>
      <c r="AG60" s="7"/>
      <c r="AH60" s="7"/>
      <c r="AI60" s="8"/>
    </row>
    <row r="61" spans="1:35" x14ac:dyDescent="0.2">
      <c r="C61" t="s">
        <v>24</v>
      </c>
      <c r="D61">
        <v>0.3</v>
      </c>
      <c r="F61" t="s">
        <v>6</v>
      </c>
      <c r="G61">
        <v>0</v>
      </c>
      <c r="K61" s="8"/>
      <c r="Q61" s="8"/>
      <c r="R61" s="3" t="s">
        <v>94</v>
      </c>
      <c r="V61" s="8"/>
      <c r="X61" s="55"/>
      <c r="Y61" s="45"/>
      <c r="Z61" s="8"/>
      <c r="AA61" s="6"/>
      <c r="AB61" s="7"/>
      <c r="AC61" s="7" t="s">
        <v>112</v>
      </c>
      <c r="AD61" s="7">
        <v>0.1</v>
      </c>
      <c r="AF61" s="7"/>
      <c r="AG61" s="7"/>
      <c r="AH61" s="7"/>
      <c r="AI61" s="8"/>
    </row>
    <row r="62" spans="1:35" x14ac:dyDescent="0.2">
      <c r="C62" t="s">
        <v>25</v>
      </c>
      <c r="D62" s="18">
        <f>F28*(1-(D60+D61))</f>
        <v>2850000</v>
      </c>
      <c r="F62" t="s">
        <v>247</v>
      </c>
      <c r="G62">
        <v>0</v>
      </c>
      <c r="K62" s="8"/>
      <c r="Q62" s="8"/>
      <c r="S62" t="s">
        <v>95</v>
      </c>
      <c r="T62">
        <v>30</v>
      </c>
      <c r="U62" s="16" t="s">
        <v>178</v>
      </c>
      <c r="V62" s="8"/>
      <c r="X62" s="40"/>
      <c r="Y62" s="3"/>
      <c r="Z62" s="8"/>
      <c r="AA62" s="6"/>
      <c r="AB62" s="7"/>
      <c r="AC62" s="7" t="s">
        <v>118</v>
      </c>
      <c r="AD62">
        <f>(AD59)*AD60*(1-AD61)/0.45</f>
        <v>7800000</v>
      </c>
      <c r="AF62" s="7"/>
      <c r="AG62" s="7"/>
      <c r="AH62" s="7"/>
      <c r="AI62" s="8"/>
    </row>
    <row r="63" spans="1:35" x14ac:dyDescent="0.2">
      <c r="C63" t="s">
        <v>26</v>
      </c>
      <c r="D63" s="18">
        <f>D59/D62</f>
        <v>6.0082842105263157E-2</v>
      </c>
      <c r="F63" t="s">
        <v>281</v>
      </c>
      <c r="G63">
        <v>0.1</v>
      </c>
      <c r="K63" s="8"/>
      <c r="Q63" s="8"/>
      <c r="S63" t="s">
        <v>96</v>
      </c>
      <c r="T63">
        <v>1.5</v>
      </c>
      <c r="U63" s="45" t="s">
        <v>250</v>
      </c>
      <c r="V63" s="8"/>
      <c r="X63" s="11"/>
      <c r="Z63" s="8"/>
      <c r="AA63" s="6"/>
      <c r="AB63" s="7"/>
      <c r="AC63" s="7" t="s">
        <v>114</v>
      </c>
      <c r="AD63" s="7">
        <v>0.5</v>
      </c>
      <c r="AE63" t="s">
        <v>232</v>
      </c>
      <c r="AF63" s="7"/>
      <c r="AG63" s="7"/>
      <c r="AH63" s="7"/>
      <c r="AI63" s="8"/>
    </row>
    <row r="64" spans="1:35" x14ac:dyDescent="0.2">
      <c r="C64" t="s">
        <v>27</v>
      </c>
      <c r="D64" s="18">
        <f>D63*N38</f>
        <v>68.254108631578944</v>
      </c>
      <c r="F64" t="s">
        <v>207</v>
      </c>
      <c r="G64" s="18">
        <f>G60*D64</f>
        <v>6.8254108631578951</v>
      </c>
      <c r="K64" s="8"/>
      <c r="L64" s="29" t="s">
        <v>176</v>
      </c>
      <c r="Q64" s="8"/>
      <c r="S64" t="s">
        <v>97</v>
      </c>
      <c r="T64">
        <f>T63*T62</f>
        <v>45</v>
      </c>
      <c r="U64" s="16"/>
      <c r="V64" s="8"/>
      <c r="Z64" s="8"/>
      <c r="AA64" s="6"/>
      <c r="AB64" s="7"/>
      <c r="AC64" s="7" t="s">
        <v>115</v>
      </c>
      <c r="AD64" s="17">
        <f>AD62*(1-AD63)*D63</f>
        <v>234323.08421052631</v>
      </c>
      <c r="AE64" s="7"/>
      <c r="AF64" s="7"/>
      <c r="AG64" s="7"/>
      <c r="AH64" s="7"/>
      <c r="AI64" s="8"/>
    </row>
    <row r="65" spans="3:35" x14ac:dyDescent="0.2">
      <c r="K65" s="8"/>
      <c r="L65" s="30"/>
      <c r="M65" t="s">
        <v>51</v>
      </c>
      <c r="N65">
        <f>N25*G37</f>
        <v>815.41</v>
      </c>
      <c r="Q65" s="8"/>
      <c r="S65" t="s">
        <v>98</v>
      </c>
      <c r="T65">
        <v>2</v>
      </c>
      <c r="U65" s="16" t="s">
        <v>178</v>
      </c>
      <c r="V65" s="8"/>
      <c r="Z65" s="8"/>
      <c r="AA65" s="6"/>
      <c r="AB65" s="7"/>
      <c r="AC65" s="7" t="s">
        <v>117</v>
      </c>
      <c r="AD65" s="7">
        <f>AD64*N31</f>
        <v>266191023.66315788</v>
      </c>
      <c r="AE65" s="7"/>
      <c r="AF65" s="7"/>
      <c r="AG65" s="7"/>
      <c r="AH65" s="7"/>
      <c r="AI65" s="8"/>
    </row>
    <row r="66" spans="3:35" x14ac:dyDescent="0.2">
      <c r="C66" s="3" t="s">
        <v>312</v>
      </c>
      <c r="K66" s="8"/>
      <c r="M66" t="s">
        <v>48</v>
      </c>
      <c r="N66">
        <f>N65/E37</f>
        <v>0.60851492537313434</v>
      </c>
      <c r="Q66" s="8"/>
      <c r="S66" t="s">
        <v>89</v>
      </c>
      <c r="T66">
        <v>4</v>
      </c>
      <c r="V66" s="8"/>
      <c r="Z66" s="8"/>
      <c r="AA66" s="6"/>
      <c r="AB66" s="7"/>
      <c r="AC66" s="7"/>
      <c r="AD66" s="7"/>
      <c r="AE66" s="7"/>
      <c r="AF66" s="7"/>
      <c r="AG66" s="7"/>
      <c r="AH66" s="7"/>
      <c r="AI66" s="8"/>
    </row>
    <row r="67" spans="3:35" x14ac:dyDescent="0.2">
      <c r="C67" t="s">
        <v>22</v>
      </c>
      <c r="D67">
        <f>G27*N25</f>
        <v>17939.02</v>
      </c>
      <c r="F67" s="59" t="s">
        <v>245</v>
      </c>
      <c r="G67" s="62">
        <v>1</v>
      </c>
      <c r="K67" s="8"/>
      <c r="M67" t="s">
        <v>54</v>
      </c>
      <c r="N67">
        <f>N66/X24/T25</f>
        <v>1.8962995031821347E-2</v>
      </c>
      <c r="Q67" s="8"/>
      <c r="S67" t="s">
        <v>99</v>
      </c>
      <c r="T67">
        <f>T66*T65*T64</f>
        <v>360</v>
      </c>
      <c r="V67" s="8"/>
      <c r="Z67" s="8"/>
      <c r="AA67" s="6"/>
      <c r="AB67" s="12" t="s">
        <v>120</v>
      </c>
      <c r="AC67" s="7"/>
      <c r="AD67" s="7"/>
      <c r="AE67" s="7"/>
      <c r="AF67" s="7"/>
      <c r="AG67" s="7"/>
      <c r="AH67" s="7"/>
      <c r="AI67" s="8"/>
    </row>
    <row r="68" spans="3:35" x14ac:dyDescent="0.2">
      <c r="C68" t="s">
        <v>23</v>
      </c>
      <c r="D68">
        <v>0.1</v>
      </c>
      <c r="F68" s="59"/>
      <c r="G68" s="62"/>
      <c r="K68" s="8"/>
      <c r="M68" t="s">
        <v>55</v>
      </c>
      <c r="N68">
        <f>(70*(N67*T25)^0.75)*365</f>
        <v>124576.45546570697</v>
      </c>
      <c r="Q68" s="8"/>
      <c r="S68" t="s">
        <v>100</v>
      </c>
      <c r="T68">
        <f>T67*N44/1000</f>
        <v>7.2</v>
      </c>
      <c r="V68" s="8"/>
      <c r="Z68" s="8"/>
      <c r="AA68" s="6"/>
      <c r="AB68" s="7"/>
      <c r="AC68" s="7" t="s">
        <v>110</v>
      </c>
      <c r="AD68" s="13">
        <f>650*10000</f>
        <v>6500000</v>
      </c>
      <c r="AE68" s="7"/>
      <c r="AF68" s="7"/>
      <c r="AG68" s="7" t="s">
        <v>222</v>
      </c>
      <c r="AH68" s="7"/>
      <c r="AI68" s="8"/>
    </row>
    <row r="69" spans="3:35" x14ac:dyDescent="0.2">
      <c r="C69" t="s">
        <v>24</v>
      </c>
      <c r="D69">
        <v>0.3</v>
      </c>
      <c r="F69" s="3" t="s">
        <v>246</v>
      </c>
      <c r="G69" s="3">
        <f>G67*D72</f>
        <v>15.299344384384385</v>
      </c>
      <c r="K69" s="8"/>
      <c r="M69" t="s">
        <v>258</v>
      </c>
      <c r="N69">
        <v>0.6</v>
      </c>
      <c r="O69" s="60">
        <f>SUM(N69:N71)</f>
        <v>1</v>
      </c>
      <c r="P69" t="s">
        <v>241</v>
      </c>
      <c r="Q69" s="8"/>
      <c r="S69" t="s">
        <v>101</v>
      </c>
      <c r="T69">
        <f>T67*N38</f>
        <v>408960</v>
      </c>
      <c r="V69" s="8"/>
      <c r="Z69" s="8"/>
      <c r="AA69" s="6"/>
      <c r="AB69" s="7"/>
      <c r="AC69" s="7" t="s">
        <v>111</v>
      </c>
      <c r="AD69" s="7">
        <v>0.59</v>
      </c>
      <c r="AE69" s="7" t="s">
        <v>226</v>
      </c>
      <c r="AF69" s="7"/>
      <c r="AG69" s="7"/>
      <c r="AH69" s="7"/>
      <c r="AI69" s="8"/>
    </row>
    <row r="70" spans="3:35" x14ac:dyDescent="0.2">
      <c r="C70" t="s">
        <v>25</v>
      </c>
      <c r="D70" s="18">
        <f>F27*(1-SUM(D68:D69))</f>
        <v>1332000</v>
      </c>
      <c r="K70" s="8"/>
      <c r="M70" t="s">
        <v>259</v>
      </c>
      <c r="N70">
        <v>0.1</v>
      </c>
      <c r="O70" s="60"/>
      <c r="Q70" s="8"/>
      <c r="S70" t="s">
        <v>102</v>
      </c>
      <c r="T70">
        <v>0</v>
      </c>
      <c r="U70" t="s">
        <v>209</v>
      </c>
      <c r="V70" s="8"/>
      <c r="Z70" s="8"/>
      <c r="AA70" s="6"/>
      <c r="AB70" s="7"/>
      <c r="AC70" s="7" t="s">
        <v>112</v>
      </c>
      <c r="AD70" s="7">
        <v>0.1</v>
      </c>
      <c r="AE70" s="7"/>
      <c r="AF70" s="7"/>
      <c r="AG70" s="7"/>
      <c r="AH70" s="7"/>
      <c r="AI70" s="8"/>
    </row>
    <row r="71" spans="3:35" x14ac:dyDescent="0.2">
      <c r="C71" t="s">
        <v>26</v>
      </c>
      <c r="D71" s="18">
        <f>D67/D70</f>
        <v>1.3467732732732733E-2</v>
      </c>
      <c r="K71" s="8"/>
      <c r="M71" t="s">
        <v>260</v>
      </c>
      <c r="N71">
        <v>0.3</v>
      </c>
      <c r="O71" s="60"/>
      <c r="Q71" s="8"/>
      <c r="V71" s="8"/>
      <c r="Z71" s="8"/>
      <c r="AA71" s="6"/>
      <c r="AB71" s="7"/>
      <c r="AC71" s="7" t="s">
        <v>118</v>
      </c>
      <c r="AD71">
        <f>(AD68)*AD69*(1-AD70)/0.45</f>
        <v>7670000</v>
      </c>
      <c r="AE71" s="7"/>
      <c r="AF71" s="7"/>
      <c r="AG71" s="7"/>
      <c r="AH71" s="7"/>
      <c r="AI71" s="8"/>
    </row>
    <row r="72" spans="3:35" x14ac:dyDescent="0.2">
      <c r="C72" t="s">
        <v>27</v>
      </c>
      <c r="D72" s="18">
        <f>D71*N38</f>
        <v>15.299344384384385</v>
      </c>
      <c r="K72" s="8"/>
      <c r="M72" t="s">
        <v>49</v>
      </c>
      <c r="N72">
        <f>N69*N68/W31</f>
        <v>7.3539820227690067E-2</v>
      </c>
      <c r="Q72" s="8"/>
      <c r="S72" s="16" t="s">
        <v>183</v>
      </c>
      <c r="V72" s="8"/>
      <c r="Z72" s="8"/>
      <c r="AA72" s="6"/>
      <c r="AB72" s="7"/>
      <c r="AC72" s="7" t="s">
        <v>114</v>
      </c>
      <c r="AD72" s="7">
        <v>0.52</v>
      </c>
      <c r="AE72" s="7" t="s">
        <v>227</v>
      </c>
      <c r="AF72" s="7"/>
      <c r="AG72" s="7"/>
      <c r="AH72" s="7"/>
      <c r="AI72" s="8"/>
    </row>
    <row r="73" spans="3:35" x14ac:dyDescent="0.2">
      <c r="K73" s="8"/>
      <c r="M73" t="s">
        <v>50</v>
      </c>
      <c r="N73">
        <f>N70*N68/W32</f>
        <v>8.2736571339381663E-3</v>
      </c>
      <c r="Q73" s="8"/>
      <c r="V73" s="8"/>
      <c r="Z73" s="8"/>
      <c r="AA73" s="6"/>
      <c r="AB73" s="7"/>
      <c r="AC73" s="7" t="s">
        <v>115</v>
      </c>
      <c r="AD73" s="17">
        <f>AD71*(1-AD72)*D71</f>
        <v>49582.804828828834</v>
      </c>
      <c r="AE73" s="7"/>
      <c r="AF73" s="7"/>
      <c r="AG73" s="7"/>
      <c r="AH73" s="7"/>
      <c r="AI73" s="8"/>
    </row>
    <row r="74" spans="3:35" x14ac:dyDescent="0.2">
      <c r="C74" s="3" t="s">
        <v>9</v>
      </c>
      <c r="F74" s="59" t="s">
        <v>248</v>
      </c>
      <c r="G74" s="60">
        <v>1</v>
      </c>
      <c r="K74" s="8"/>
      <c r="M74" t="s">
        <v>254</v>
      </c>
      <c r="N74">
        <f>SUM(N72:N73)</f>
        <v>8.1813477361628237E-2</v>
      </c>
      <c r="Q74" s="8"/>
      <c r="V74" s="8"/>
      <c r="Z74" s="8"/>
      <c r="AA74" s="6"/>
      <c r="AB74" s="7"/>
      <c r="AC74" s="7" t="s">
        <v>117</v>
      </c>
      <c r="AD74" s="7">
        <f>$N$31*AD73</f>
        <v>56326066.285549559</v>
      </c>
      <c r="AE74" s="7"/>
      <c r="AF74" s="7"/>
      <c r="AG74" s="7"/>
      <c r="AH74" s="7"/>
      <c r="AI74" s="8"/>
    </row>
    <row r="75" spans="3:35" x14ac:dyDescent="0.2">
      <c r="C75" t="s">
        <v>22</v>
      </c>
      <c r="D75">
        <f>G32*N25</f>
        <v>12231.15</v>
      </c>
      <c r="F75" s="59"/>
      <c r="G75" s="60"/>
      <c r="K75" s="8"/>
      <c r="M75" s="3" t="s">
        <v>255</v>
      </c>
      <c r="N75" s="3">
        <f>N74*N31</f>
        <v>92.940110282809684</v>
      </c>
      <c r="Q75" s="8"/>
      <c r="R75" s="3" t="s">
        <v>184</v>
      </c>
      <c r="V75" s="8"/>
      <c r="Z75" s="8"/>
      <c r="AA75" s="6"/>
      <c r="AB75" s="7"/>
      <c r="AC75" s="7"/>
      <c r="AD75" s="7"/>
      <c r="AE75" s="7"/>
      <c r="AF75" s="7"/>
      <c r="AG75" s="7"/>
      <c r="AH75" s="7"/>
      <c r="AI75" s="8"/>
    </row>
    <row r="76" spans="3:35" x14ac:dyDescent="0.2">
      <c r="C76" t="s">
        <v>23</v>
      </c>
      <c r="D76">
        <v>0</v>
      </c>
      <c r="F76" s="59"/>
      <c r="G76" s="60"/>
      <c r="K76" s="8"/>
      <c r="M76" s="3" t="s">
        <v>256</v>
      </c>
      <c r="N76" s="3">
        <f>N67*N31</f>
        <v>21.54196235614905</v>
      </c>
      <c r="Q76" s="8"/>
      <c r="S76" t="s">
        <v>87</v>
      </c>
      <c r="T76">
        <v>1.5</v>
      </c>
      <c r="U76" s="16" t="s">
        <v>178</v>
      </c>
      <c r="V76" s="8"/>
      <c r="Z76" s="8"/>
      <c r="AA76" s="6"/>
      <c r="AB76" s="12" t="s">
        <v>134</v>
      </c>
      <c r="AC76" s="7"/>
      <c r="AD76" s="7"/>
      <c r="AE76" s="7"/>
      <c r="AF76" s="7"/>
      <c r="AG76" s="7"/>
      <c r="AH76" s="7"/>
      <c r="AI76" s="8"/>
    </row>
    <row r="77" spans="3:35" x14ac:dyDescent="0.2">
      <c r="C77" t="s">
        <v>24</v>
      </c>
      <c r="D77">
        <v>0.3</v>
      </c>
      <c r="F77" t="s">
        <v>249</v>
      </c>
      <c r="G77">
        <f>G74*D80</f>
        <v>4.0344327526132409</v>
      </c>
      <c r="K77" s="8"/>
      <c r="Q77" s="8"/>
      <c r="S77" t="s">
        <v>88</v>
      </c>
      <c r="T77">
        <v>82</v>
      </c>
      <c r="U77" s="16" t="s">
        <v>103</v>
      </c>
      <c r="V77" s="8"/>
      <c r="Z77" s="8"/>
      <c r="AA77" s="6"/>
      <c r="AB77" s="7"/>
      <c r="AC77" s="7" t="s">
        <v>125</v>
      </c>
      <c r="AD77">
        <f>((((40+96)/2)/1.28)/1.331)*0.67</f>
        <v>26.742111194590535</v>
      </c>
      <c r="AE77" s="7"/>
      <c r="AF77" s="7" t="s">
        <v>228</v>
      </c>
      <c r="AG77" s="7"/>
      <c r="AH77" s="7"/>
      <c r="AI77" s="8"/>
    </row>
    <row r="78" spans="3:35" x14ac:dyDescent="0.2">
      <c r="C78" t="s">
        <v>25</v>
      </c>
      <c r="D78" s="18">
        <f>F32*(1-SUM(D76:D77))</f>
        <v>3444000</v>
      </c>
      <c r="K78" s="8"/>
      <c r="M78" s="3" t="s">
        <v>243</v>
      </c>
      <c r="Q78" s="8"/>
      <c r="S78" t="s">
        <v>89</v>
      </c>
      <c r="T78">
        <v>4</v>
      </c>
      <c r="U78" s="16"/>
      <c r="V78" s="8"/>
      <c r="Z78" s="8"/>
      <c r="AA78" s="6"/>
      <c r="AB78" s="7"/>
      <c r="AC78" s="7" t="s">
        <v>126</v>
      </c>
      <c r="AD78">
        <f>((40+96)/2)</f>
        <v>68</v>
      </c>
      <c r="AE78" s="7"/>
      <c r="AF78" s="7" t="s">
        <v>229</v>
      </c>
      <c r="AG78" s="7"/>
      <c r="AH78" s="7"/>
      <c r="AI78" s="8"/>
    </row>
    <row r="79" spans="3:35" x14ac:dyDescent="0.2">
      <c r="C79" t="s">
        <v>26</v>
      </c>
      <c r="D79" s="18">
        <f>D75/D78</f>
        <v>3.5514372822299653E-3</v>
      </c>
      <c r="K79" s="8"/>
      <c r="Q79" s="8"/>
      <c r="S79" t="s">
        <v>90</v>
      </c>
      <c r="T79">
        <f>T76*T77*T78</f>
        <v>492</v>
      </c>
      <c r="U79" s="16"/>
      <c r="V79" s="8"/>
      <c r="Z79" s="8"/>
      <c r="AA79" s="6"/>
      <c r="AB79" s="7"/>
      <c r="AC79" s="7" t="s">
        <v>127</v>
      </c>
      <c r="AD79">
        <f>AD78-AD77</f>
        <v>41.257888805409465</v>
      </c>
      <c r="AE79" s="7"/>
      <c r="AF79" s="7" t="s">
        <v>230</v>
      </c>
      <c r="AG79" s="7"/>
      <c r="AH79" s="7"/>
      <c r="AI79" s="8"/>
    </row>
    <row r="80" spans="3:35" x14ac:dyDescent="0.2">
      <c r="C80" t="s">
        <v>27</v>
      </c>
      <c r="D80" s="18">
        <f>D79*N38</f>
        <v>4.0344327526132409</v>
      </c>
      <c r="K80" s="8"/>
      <c r="L80" s="29" t="s">
        <v>257</v>
      </c>
      <c r="Q80" s="8"/>
      <c r="S80" t="s">
        <v>91</v>
      </c>
      <c r="T80">
        <f>T79*N44/1000</f>
        <v>9.84</v>
      </c>
      <c r="U80" s="16"/>
      <c r="V80" s="8"/>
      <c r="Z80" s="8"/>
      <c r="AA80" s="6"/>
      <c r="AB80" s="7"/>
      <c r="AC80" s="7" t="s">
        <v>128</v>
      </c>
      <c r="AD80">
        <f>(AD77)*E41</f>
        <v>23800.478963185575</v>
      </c>
      <c r="AE80" s="7"/>
      <c r="AF80" s="7"/>
      <c r="AG80" s="7"/>
      <c r="AH80" s="7"/>
      <c r="AI80" s="8"/>
    </row>
    <row r="81" spans="1:35" x14ac:dyDescent="0.2">
      <c r="A81" s="7"/>
      <c r="B81" s="7"/>
      <c r="C81" s="7"/>
      <c r="D81" s="7"/>
      <c r="K81" s="8"/>
      <c r="M81" t="s">
        <v>261</v>
      </c>
      <c r="N81">
        <f>N25*G38</f>
        <v>815.41</v>
      </c>
      <c r="Q81" s="8"/>
      <c r="S81" t="s">
        <v>92</v>
      </c>
      <c r="T81">
        <f>T79*N38</f>
        <v>558912</v>
      </c>
      <c r="U81" s="16"/>
      <c r="V81" s="8"/>
      <c r="Z81" s="8"/>
      <c r="AA81" s="6"/>
      <c r="AB81" s="7"/>
      <c r="AC81" s="7" t="s">
        <v>129</v>
      </c>
      <c r="AD81">
        <f>AD79*E41</f>
        <v>36719.521036814425</v>
      </c>
      <c r="AE81" s="7"/>
      <c r="AF81" s="7"/>
      <c r="AG81" s="7"/>
      <c r="AH81" s="7"/>
      <c r="AI81" s="8"/>
    </row>
    <row r="82" spans="1:35" x14ac:dyDescent="0.2">
      <c r="C82" s="3" t="s">
        <v>313</v>
      </c>
      <c r="K82" s="8"/>
      <c r="M82" t="s">
        <v>48</v>
      </c>
      <c r="N82">
        <f>N81/E38</f>
        <v>0.55095270270270269</v>
      </c>
      <c r="Q82" s="8"/>
      <c r="S82" t="s">
        <v>93</v>
      </c>
      <c r="T82">
        <f>T81/N43/10000</f>
        <v>43.326511627906974</v>
      </c>
      <c r="U82" s="16"/>
      <c r="V82" s="8"/>
      <c r="Z82" s="8"/>
      <c r="AA82" s="6"/>
      <c r="AB82" s="7"/>
      <c r="AC82" s="7" t="s">
        <v>130</v>
      </c>
      <c r="AD82">
        <f>N25*G41</f>
        <v>13046.56</v>
      </c>
      <c r="AE82" s="7"/>
      <c r="AF82" s="7"/>
      <c r="AG82" s="7"/>
      <c r="AH82" s="7"/>
      <c r="AI82" s="8"/>
    </row>
    <row r="83" spans="1:35" x14ac:dyDescent="0.2">
      <c r="C83" t="s">
        <v>22</v>
      </c>
      <c r="D83">
        <f>G26*N25</f>
        <v>171236.1</v>
      </c>
      <c r="F83" t="s">
        <v>207</v>
      </c>
      <c r="G83" s="18">
        <f>G63*D88</f>
        <v>4.0935229292929298</v>
      </c>
      <c r="K83" s="8"/>
      <c r="M83" t="s">
        <v>262</v>
      </c>
      <c r="N83">
        <f>N82/X26/T26</f>
        <v>0.1393053609867769</v>
      </c>
      <c r="Q83" s="8"/>
      <c r="V83" s="8"/>
      <c r="Z83" s="8"/>
      <c r="AA83" s="6"/>
      <c r="AB83" s="7"/>
      <c r="AC83" s="7" t="s">
        <v>131</v>
      </c>
      <c r="AD83">
        <f>AD82/AD80</f>
        <v>0.54816375839243958</v>
      </c>
      <c r="AE83" s="7"/>
      <c r="AF83" s="7"/>
      <c r="AG83" s="7"/>
      <c r="AH83" s="7"/>
      <c r="AI83" s="8"/>
    </row>
    <row r="84" spans="1:35" x14ac:dyDescent="0.2">
      <c r="C84" t="s">
        <v>23</v>
      </c>
      <c r="D84">
        <v>0.1</v>
      </c>
      <c r="K84" s="8"/>
      <c r="M84" t="s">
        <v>263</v>
      </c>
      <c r="N84">
        <f>(70*(N83*T26)^0.75)*365</f>
        <v>83833.540953872478</v>
      </c>
      <c r="Q84" s="8"/>
      <c r="S84" s="16" t="s">
        <v>183</v>
      </c>
      <c r="V84" s="8"/>
      <c r="Z84" s="8"/>
      <c r="AA84" s="6"/>
      <c r="AB84" s="7"/>
      <c r="AC84" s="7" t="s">
        <v>132</v>
      </c>
      <c r="AD84">
        <f>AD83*N31</f>
        <v>622.71402953381141</v>
      </c>
      <c r="AE84" s="7"/>
      <c r="AF84" s="7"/>
      <c r="AG84" s="7"/>
      <c r="AH84" s="7"/>
      <c r="AI84" s="8"/>
    </row>
    <row r="85" spans="1:35" x14ac:dyDescent="0.2">
      <c r="C85" t="s">
        <v>24</v>
      </c>
      <c r="D85">
        <v>0.3</v>
      </c>
      <c r="K85" s="8"/>
      <c r="M85" t="s">
        <v>264</v>
      </c>
      <c r="N85">
        <v>0.65</v>
      </c>
      <c r="O85" s="60">
        <f>SUM(N85:N87)</f>
        <v>1</v>
      </c>
      <c r="Q85" s="8"/>
      <c r="V85" s="8"/>
      <c r="Z85" s="8"/>
      <c r="AA85" s="6"/>
      <c r="AB85" s="7"/>
      <c r="AC85" s="7" t="s">
        <v>133</v>
      </c>
      <c r="AD85">
        <f>AD84*AD79</f>
        <v>25691.866188074458</v>
      </c>
      <c r="AE85" s="7"/>
      <c r="AF85" s="7"/>
      <c r="AG85" s="7"/>
      <c r="AH85" s="7"/>
      <c r="AI85" s="8"/>
    </row>
    <row r="86" spans="1:35" x14ac:dyDescent="0.2">
      <c r="C86" t="s">
        <v>25</v>
      </c>
      <c r="D86" s="18">
        <f>F26*(1-(D84+D85))</f>
        <v>4752000</v>
      </c>
      <c r="K86" s="8"/>
      <c r="M86" t="s">
        <v>265</v>
      </c>
      <c r="N86">
        <v>0.1</v>
      </c>
      <c r="O86" s="60"/>
      <c r="Q86" s="8"/>
      <c r="V86" s="8"/>
      <c r="Z86" s="8"/>
      <c r="AA86" s="6"/>
      <c r="AB86" s="7"/>
      <c r="AC86" s="11" t="s">
        <v>187</v>
      </c>
      <c r="AD86" s="7">
        <f>AD84*AD81</f>
        <v>22865760.907386266</v>
      </c>
      <c r="AE86" s="7"/>
      <c r="AF86" s="7"/>
      <c r="AG86" s="7"/>
      <c r="AH86" s="7"/>
      <c r="AI86" s="8"/>
    </row>
    <row r="87" spans="1:35" x14ac:dyDescent="0.2">
      <c r="C87" t="s">
        <v>26</v>
      </c>
      <c r="D87" s="18">
        <f>D83/D86</f>
        <v>3.6034532828282832E-2</v>
      </c>
      <c r="K87" s="8"/>
      <c r="M87" t="s">
        <v>270</v>
      </c>
      <c r="N87">
        <v>0.25</v>
      </c>
      <c r="O87" s="60"/>
      <c r="Q87" s="8"/>
      <c r="R87" s="3" t="s">
        <v>244</v>
      </c>
      <c r="V87" s="8"/>
      <c r="Z87" s="8"/>
      <c r="AA87" s="6"/>
      <c r="AB87" s="12" t="s">
        <v>137</v>
      </c>
      <c r="AC87" s="7"/>
      <c r="AD87" s="7"/>
      <c r="AE87" s="7"/>
      <c r="AF87" s="7"/>
      <c r="AG87" s="7"/>
      <c r="AH87" s="7"/>
      <c r="AI87" s="8"/>
    </row>
    <row r="88" spans="1:35" x14ac:dyDescent="0.2">
      <c r="C88" t="s">
        <v>27</v>
      </c>
      <c r="D88" s="18">
        <f>D87*N38</f>
        <v>40.9352292929293</v>
      </c>
      <c r="K88" s="8"/>
      <c r="M88" t="s">
        <v>49</v>
      </c>
      <c r="N88">
        <f>N84*N85/W31</f>
        <v>5.3612555706431635E-2</v>
      </c>
      <c r="Q88" s="8"/>
      <c r="V88" s="8"/>
      <c r="Z88" s="8"/>
      <c r="AA88" s="6"/>
      <c r="AB88" s="7"/>
      <c r="AC88" s="7" t="s">
        <v>135</v>
      </c>
      <c r="AD88">
        <v>0.9</v>
      </c>
      <c r="AE88" s="7" t="s">
        <v>233</v>
      </c>
      <c r="AF88" s="7"/>
      <c r="AG88" s="7"/>
      <c r="AH88" s="7"/>
      <c r="AI88" s="8"/>
    </row>
    <row r="89" spans="1:35" x14ac:dyDescent="0.2">
      <c r="K89" s="8"/>
      <c r="M89" t="s">
        <v>50</v>
      </c>
      <c r="N89">
        <f>N86*N84/W32</f>
        <v>5.5677452981252899E-3</v>
      </c>
      <c r="Q89" s="8"/>
      <c r="V89" s="8"/>
      <c r="Z89" s="8"/>
      <c r="AA89" s="6"/>
      <c r="AB89" s="7"/>
      <c r="AC89" s="7" t="s">
        <v>136</v>
      </c>
      <c r="AD89">
        <v>0.2</v>
      </c>
      <c r="AE89" s="7" t="s">
        <v>234</v>
      </c>
      <c r="AF89" s="7"/>
      <c r="AG89" s="7"/>
      <c r="AH89" s="7"/>
      <c r="AI89" s="8"/>
    </row>
    <row r="90" spans="1:35" x14ac:dyDescent="0.2">
      <c r="A90" s="9"/>
      <c r="B90" s="9"/>
      <c r="C90" s="9"/>
      <c r="D90" s="9"/>
      <c r="E90" s="9"/>
      <c r="F90" s="9"/>
      <c r="G90" s="9"/>
      <c r="H90" s="9"/>
      <c r="I90" s="9"/>
      <c r="J90" s="9"/>
      <c r="K90" s="10"/>
      <c r="M90" t="s">
        <v>271</v>
      </c>
      <c r="N90">
        <f>N87*N84/W33</f>
        <v>5.6091525187378109E-2</v>
      </c>
      <c r="Q90" s="8"/>
      <c r="V90" s="8"/>
      <c r="Z90" s="8"/>
      <c r="AA90" s="6"/>
      <c r="AB90" s="7"/>
      <c r="AC90" s="7" t="s">
        <v>143</v>
      </c>
      <c r="AD90">
        <f>(1-AD88)*AD89</f>
        <v>1.9999999999999997E-2</v>
      </c>
      <c r="AE90" s="7"/>
      <c r="AF90" s="7"/>
      <c r="AG90" s="7"/>
      <c r="AH90" s="7"/>
      <c r="AI90" s="8"/>
    </row>
    <row r="91" spans="1:35" x14ac:dyDescent="0.2">
      <c r="K91" s="8"/>
      <c r="M91" t="s">
        <v>266</v>
      </c>
      <c r="N91">
        <f>SUM(N88:N90)</f>
        <v>0.11527182619193503</v>
      </c>
      <c r="Q91" s="8"/>
      <c r="V91" s="8"/>
      <c r="Z91" s="8"/>
      <c r="AA91" s="6"/>
      <c r="AB91" s="7"/>
      <c r="AC91" s="7" t="s">
        <v>138</v>
      </c>
      <c r="AD91">
        <f>(AD89*AD88)*E43</f>
        <v>149.4</v>
      </c>
      <c r="AE91" s="7"/>
      <c r="AF91" s="7"/>
      <c r="AG91" s="7"/>
      <c r="AH91" s="7"/>
      <c r="AI91" s="8"/>
    </row>
    <row r="92" spans="1:35" x14ac:dyDescent="0.2">
      <c r="B92" s="3" t="s">
        <v>108</v>
      </c>
      <c r="D92" s="3" t="s">
        <v>109</v>
      </c>
      <c r="E92" s="3">
        <f>D99</f>
        <v>6.0417759828016253</v>
      </c>
      <c r="K92" s="8"/>
      <c r="M92" s="3" t="s">
        <v>267</v>
      </c>
      <c r="N92">
        <f>N91*N31</f>
        <v>130.94879455403819</v>
      </c>
      <c r="Q92" s="8"/>
      <c r="V92" s="8"/>
      <c r="Z92" s="8"/>
      <c r="AA92" s="6"/>
      <c r="AB92" s="7"/>
      <c r="AC92" s="7" t="s">
        <v>139</v>
      </c>
      <c r="AD92">
        <f>G43*N25</f>
        <v>48924.6</v>
      </c>
      <c r="AE92" s="7"/>
      <c r="AF92" s="7"/>
      <c r="AG92" s="7"/>
      <c r="AH92" s="7"/>
      <c r="AI92" s="8"/>
    </row>
    <row r="93" spans="1:35" x14ac:dyDescent="0.2">
      <c r="B93" s="3" t="s">
        <v>311</v>
      </c>
      <c r="K93" s="8"/>
      <c r="M93" s="3" t="s">
        <v>272</v>
      </c>
      <c r="N93">
        <f>N83*N31</f>
        <v>158.25089008097856</v>
      </c>
      <c r="Q93" s="8"/>
      <c r="V93" s="8"/>
      <c r="Z93" s="8"/>
      <c r="AA93" s="6"/>
      <c r="AB93" s="7"/>
      <c r="AC93" s="7" t="s">
        <v>140</v>
      </c>
      <c r="AD93">
        <f>AD92/AD91</f>
        <v>327.47389558232931</v>
      </c>
      <c r="AF93" s="7"/>
      <c r="AG93" s="7"/>
      <c r="AH93" s="7"/>
      <c r="AI93" s="8"/>
    </row>
    <row r="94" spans="1:35" x14ac:dyDescent="0.2">
      <c r="C94" t="s">
        <v>22</v>
      </c>
      <c r="D94">
        <f>N25*G29</f>
        <v>20385.25</v>
      </c>
      <c r="K94" s="8"/>
      <c r="Q94" s="8"/>
      <c r="V94" s="8"/>
      <c r="Z94" s="8"/>
      <c r="AA94" s="6"/>
      <c r="AB94" s="7"/>
      <c r="AC94" s="7" t="s">
        <v>141</v>
      </c>
      <c r="AD94">
        <f>AD93*N31</f>
        <v>372010.3453815261</v>
      </c>
      <c r="AE94" s="7" t="s">
        <v>317</v>
      </c>
      <c r="AF94" s="7"/>
      <c r="AG94" s="7"/>
      <c r="AH94" s="7"/>
      <c r="AI94" s="8"/>
    </row>
    <row r="95" spans="1:35" x14ac:dyDescent="0.2">
      <c r="C95" t="s">
        <v>23</v>
      </c>
      <c r="D95">
        <v>0</v>
      </c>
      <c r="K95" s="8"/>
      <c r="Q95" s="8"/>
      <c r="V95" s="8"/>
      <c r="Z95" s="8"/>
      <c r="AA95" s="6"/>
      <c r="AB95" s="7"/>
      <c r="AC95" s="7" t="s">
        <v>142</v>
      </c>
      <c r="AD95">
        <f>AD90*AD94</f>
        <v>7440.2069076305206</v>
      </c>
      <c r="AE95" s="7"/>
      <c r="AF95" s="7"/>
      <c r="AG95" s="7"/>
      <c r="AH95" s="7"/>
      <c r="AI95" s="8"/>
    </row>
    <row r="96" spans="1:35" x14ac:dyDescent="0.2">
      <c r="C96" t="s">
        <v>24</v>
      </c>
      <c r="D96">
        <v>0.3</v>
      </c>
      <c r="K96" s="8"/>
      <c r="Q96" s="8"/>
      <c r="V96" s="8"/>
      <c r="Z96" s="8"/>
      <c r="AA96" s="6"/>
      <c r="AB96" s="7"/>
      <c r="AC96" s="7" t="s">
        <v>144</v>
      </c>
      <c r="AD96">
        <f>AD95*E42</f>
        <v>8935688.496064255</v>
      </c>
      <c r="AE96" s="7"/>
      <c r="AF96" s="7"/>
      <c r="AG96" s="7"/>
      <c r="AH96" s="7"/>
      <c r="AI96" s="8"/>
    </row>
    <row r="97" spans="3:35" x14ac:dyDescent="0.2">
      <c r="C97" t="s">
        <v>25</v>
      </c>
      <c r="D97">
        <f>F29*(1-SUM(D95:D96))</f>
        <v>3832919.9999999995</v>
      </c>
      <c r="K97" s="8"/>
      <c r="Q97" s="8"/>
      <c r="V97" s="8"/>
      <c r="Z97" s="8"/>
      <c r="AA97" s="6"/>
      <c r="AB97" s="7"/>
      <c r="AC97" s="7"/>
      <c r="AD97" s="7"/>
      <c r="AE97" s="7"/>
      <c r="AF97" s="7"/>
      <c r="AG97" s="7"/>
      <c r="AH97" s="7"/>
      <c r="AI97" s="8"/>
    </row>
    <row r="98" spans="3:35" x14ac:dyDescent="0.2">
      <c r="C98" t="s">
        <v>26</v>
      </c>
      <c r="D98">
        <f>D94/D97</f>
        <v>5.3184647735929798E-3</v>
      </c>
      <c r="K98" s="8"/>
      <c r="Q98" s="8"/>
      <c r="V98" s="8"/>
      <c r="Z98" s="8"/>
      <c r="AA98" s="6"/>
      <c r="AB98" s="12" t="s">
        <v>121</v>
      </c>
      <c r="AC98" s="7"/>
      <c r="AD98" s="7"/>
      <c r="AE98" s="7"/>
      <c r="AF98" s="7"/>
      <c r="AG98" s="7"/>
      <c r="AH98" s="7"/>
      <c r="AI98" s="8"/>
    </row>
    <row r="99" spans="3:35" x14ac:dyDescent="0.2">
      <c r="C99" t="s">
        <v>27</v>
      </c>
      <c r="D99">
        <f>D98*N38</f>
        <v>6.0417759828016253</v>
      </c>
      <c r="K99" s="8"/>
      <c r="Q99" s="8"/>
      <c r="V99" s="8"/>
      <c r="Z99" s="8"/>
      <c r="AA99" s="6"/>
      <c r="AB99" s="7"/>
      <c r="AC99" s="7" t="s">
        <v>145</v>
      </c>
      <c r="AD99" s="7">
        <v>0.5</v>
      </c>
      <c r="AE99" s="7" t="s">
        <v>113</v>
      </c>
      <c r="AF99" s="7"/>
      <c r="AG99" s="7"/>
      <c r="AH99" s="7"/>
      <c r="AI99" s="8"/>
    </row>
    <row r="100" spans="3:35" x14ac:dyDescent="0.2">
      <c r="K100" s="8"/>
      <c r="Q100" s="8"/>
      <c r="V100" s="8"/>
      <c r="Z100" s="8"/>
      <c r="AA100" s="6"/>
      <c r="AB100" s="7"/>
      <c r="AC100" s="7" t="s">
        <v>146</v>
      </c>
      <c r="AD100" s="7">
        <f>AD99*365</f>
        <v>182.5</v>
      </c>
      <c r="AE100" s="7"/>
      <c r="AF100" s="7"/>
      <c r="AG100" s="7"/>
      <c r="AH100" s="7"/>
      <c r="AI100" s="8"/>
    </row>
    <row r="101" spans="3:35" x14ac:dyDescent="0.2">
      <c r="K101" s="8"/>
      <c r="Q101" s="8"/>
      <c r="V101" s="8"/>
      <c r="Z101" s="8"/>
      <c r="AA101" s="6"/>
      <c r="AB101" s="7"/>
      <c r="AC101" s="7" t="s">
        <v>148</v>
      </c>
      <c r="AD101" s="7">
        <f>V35</f>
        <v>890</v>
      </c>
      <c r="AE101" s="7"/>
      <c r="AF101" s="7"/>
      <c r="AG101" s="7"/>
      <c r="AH101" s="7"/>
      <c r="AI101" s="8"/>
    </row>
    <row r="102" spans="3:35" x14ac:dyDescent="0.2">
      <c r="K102" s="8"/>
      <c r="Q102" s="8"/>
      <c r="V102" s="8"/>
      <c r="Z102" s="8"/>
      <c r="AA102" s="6"/>
      <c r="AB102" s="7"/>
      <c r="AC102" s="7" t="s">
        <v>147</v>
      </c>
      <c r="AD102" s="7">
        <f>AD100*AD101</f>
        <v>162425</v>
      </c>
      <c r="AE102" s="7"/>
      <c r="AF102" s="7"/>
      <c r="AG102" s="7"/>
      <c r="AH102" s="7"/>
      <c r="AI102" s="8"/>
    </row>
    <row r="103" spans="3:35" x14ac:dyDescent="0.2">
      <c r="K103" s="8"/>
      <c r="Q103" s="8"/>
      <c r="V103" s="8"/>
      <c r="Z103" s="8"/>
      <c r="AA103" s="6"/>
      <c r="AB103" s="7"/>
      <c r="AC103" s="7" t="s">
        <v>150</v>
      </c>
      <c r="AD103" s="7">
        <f>AD100*N31</f>
        <v>207320</v>
      </c>
      <c r="AE103" s="7"/>
      <c r="AF103" s="7"/>
      <c r="AG103" s="7"/>
      <c r="AH103" s="7"/>
      <c r="AI103" s="8"/>
    </row>
    <row r="104" spans="3:35" x14ac:dyDescent="0.2">
      <c r="K104" s="8"/>
      <c r="Q104" s="8"/>
      <c r="V104" s="8"/>
      <c r="Z104" s="8"/>
      <c r="AA104" s="6"/>
      <c r="AB104" s="7"/>
      <c r="AC104" s="7" t="s">
        <v>149</v>
      </c>
      <c r="AD104" s="7">
        <f>AD102*N38</f>
        <v>184514800</v>
      </c>
      <c r="AE104" s="7"/>
      <c r="AF104" s="7"/>
      <c r="AG104" s="7"/>
      <c r="AH104" s="7"/>
      <c r="AI104" s="8"/>
    </row>
    <row r="105" spans="3:35" x14ac:dyDescent="0.2">
      <c r="K105" s="8"/>
      <c r="Q105" s="8"/>
      <c r="V105" s="8"/>
      <c r="Z105" s="8"/>
      <c r="AA105" s="6"/>
      <c r="AB105" s="7"/>
      <c r="AC105" s="7"/>
      <c r="AD105" s="7"/>
      <c r="AE105" s="7"/>
      <c r="AF105" s="7"/>
      <c r="AG105" s="7"/>
      <c r="AH105" s="7"/>
      <c r="AI105" s="8"/>
    </row>
    <row r="106" spans="3:35" x14ac:dyDescent="0.2">
      <c r="Z106" s="8"/>
      <c r="AA106" s="23"/>
      <c r="AB106" s="9"/>
      <c r="AC106" s="9"/>
      <c r="AD106" s="9"/>
      <c r="AE106" s="9"/>
      <c r="AF106" s="9"/>
      <c r="AG106" s="9"/>
      <c r="AH106" s="9"/>
      <c r="AI106" s="10"/>
    </row>
  </sheetData>
  <mergeCells count="10">
    <mergeCell ref="O69:O71"/>
    <mergeCell ref="F74:F76"/>
    <mergeCell ref="G74:G76"/>
    <mergeCell ref="O85:O87"/>
    <mergeCell ref="B25:B33"/>
    <mergeCell ref="B34:B39"/>
    <mergeCell ref="B40:B43"/>
    <mergeCell ref="O53:O54"/>
    <mergeCell ref="F67:F68"/>
    <mergeCell ref="G67:G6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Template 1800</vt:lpstr>
      <vt:lpstr>Template 1570</vt:lpstr>
      <vt:lpstr>Low Pop. 1800</vt:lpstr>
      <vt:lpstr>High Calories 1800</vt:lpstr>
      <vt:lpstr>1800 HYRice</vt:lpstr>
      <vt:lpstr>1800 Only Yams</vt:lpstr>
      <vt:lpstr>1800 Only Camote</vt:lpstr>
      <vt:lpstr>1800 Poor Rice Harvest</vt:lpstr>
      <vt:lpstr>1800 Goats Present</vt:lpstr>
      <vt:lpstr>1800 No Carabao Herd</vt:lpstr>
      <vt:lpstr>1800 Kadangyan</vt:lpstr>
      <vt:lpstr>1800 Nawotwot</vt:lpstr>
      <vt:lpstr>Alternative Hunting 1800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2021-01-05T11:00:23Z</dcterms:created>
  <dcterms:modified xsi:type="dcterms:W3CDTF">2021-10-25T10:37:50Z</dcterms:modified>
</cp:coreProperties>
</file>