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s\Desktop\Cucumber LCA paper Response to Reviewers\Final version\"/>
    </mc:Choice>
  </mc:AlternateContent>
  <bookViews>
    <workbookView xWindow="-105" yWindow="-105" windowWidth="25305" windowHeight="11400" tabRatio="688"/>
  </bookViews>
  <sheets>
    <sheet name="Content" sheetId="5" r:id="rId1"/>
    <sheet name="1. Notes" sheetId="3" r:id="rId2"/>
    <sheet name="2. Data" sheetId="4" r:id="rId3"/>
    <sheet name="3. LCA flows" sheetId="28" r:id="rId4"/>
    <sheet name="4. Break-even analysis " sheetId="24" r:id="rId5"/>
  </sheets>
  <calcPr calcId="162913"/>
</workbook>
</file>

<file path=xl/calcChain.xml><?xml version="1.0" encoding="utf-8"?>
<calcChain xmlns="http://schemas.openxmlformats.org/spreadsheetml/2006/main">
  <c r="B20" i="4" l="1"/>
  <c r="C20" i="4"/>
  <c r="I8" i="28" l="1"/>
  <c r="K8" i="28"/>
  <c r="J13" i="28"/>
  <c r="J14" i="28"/>
  <c r="J15" i="28"/>
  <c r="H13" i="28"/>
  <c r="H14" i="28"/>
  <c r="H15" i="28"/>
  <c r="B19" i="4"/>
  <c r="C19" i="4"/>
  <c r="B18" i="4"/>
  <c r="P40" i="3"/>
  <c r="C3" i="4" s="1"/>
  <c r="O40" i="3"/>
  <c r="B3" i="4" s="1"/>
  <c r="B21" i="4" s="1"/>
  <c r="F7" i="24"/>
  <c r="F3" i="24"/>
  <c r="F4" i="24"/>
  <c r="F5" i="24"/>
  <c r="F6" i="24"/>
  <c r="F8" i="24"/>
  <c r="F9" i="24"/>
  <c r="F2" i="24"/>
  <c r="C21" i="4" l="1"/>
  <c r="F4" i="28"/>
  <c r="F14" i="28" s="1"/>
  <c r="I14" i="28" s="1"/>
  <c r="M14" i="28" s="1"/>
  <c r="E4" i="28"/>
  <c r="E5" i="28" s="1"/>
  <c r="H5" i="28" s="1"/>
  <c r="E8" i="28"/>
  <c r="H8" i="28" s="1"/>
  <c r="M8" i="28" s="1"/>
  <c r="H4" i="28"/>
  <c r="E11" i="28"/>
  <c r="E12" i="28"/>
  <c r="E6" i="28"/>
  <c r="F11" i="28" l="1"/>
  <c r="I11" i="28" s="1"/>
  <c r="F6" i="28"/>
  <c r="I6" i="28" s="1"/>
  <c r="I4" i="28"/>
  <c r="M4" i="28" s="1"/>
  <c r="F7" i="28"/>
  <c r="I7" i="28" s="1"/>
  <c r="F5" i="28"/>
  <c r="I5" i="28" s="1"/>
  <c r="M5" i="28" s="1"/>
  <c r="F13" i="28"/>
  <c r="I13" i="28" s="1"/>
  <c r="M13" i="28" s="1"/>
  <c r="F12" i="28"/>
  <c r="I12" i="28" s="1"/>
  <c r="F10" i="28"/>
  <c r="I10" i="28" s="1"/>
  <c r="E10" i="28"/>
  <c r="H10" i="28" s="1"/>
  <c r="E7" i="28"/>
  <c r="H7" i="28"/>
  <c r="H12" i="28"/>
  <c r="H6" i="28"/>
  <c r="M6" i="28" s="1"/>
  <c r="H11" i="28"/>
  <c r="E9" i="28"/>
  <c r="M11" i="28" l="1"/>
  <c r="M12" i="28"/>
  <c r="M7" i="28"/>
  <c r="M10" i="28"/>
  <c r="F9" i="28"/>
  <c r="I9" i="28" s="1"/>
  <c r="F15" i="28"/>
  <c r="I15" i="28" s="1"/>
  <c r="M15" i="28" s="1"/>
  <c r="M19" i="28" s="1"/>
  <c r="H9" i="28"/>
  <c r="G3" i="24"/>
  <c r="G4" i="24"/>
  <c r="G5" i="24"/>
  <c r="G6" i="24"/>
  <c r="G7" i="24"/>
  <c r="G8" i="24"/>
  <c r="G9" i="24"/>
  <c r="G2" i="24"/>
  <c r="I16" i="28" l="1"/>
  <c r="K9" i="28" s="1"/>
  <c r="M23" i="28"/>
  <c r="H16" i="28"/>
  <c r="M22" i="28" s="1"/>
  <c r="M25" i="28" s="1"/>
  <c r="M9" i="28"/>
  <c r="K5" i="28" l="1"/>
  <c r="K14" i="28"/>
  <c r="L14" i="28" s="1"/>
  <c r="K4" i="28"/>
  <c r="K10" i="28"/>
  <c r="K7" i="28"/>
  <c r="K15" i="28"/>
  <c r="L15" i="28" s="1"/>
  <c r="K13" i="28"/>
  <c r="L13" i="28" s="1"/>
  <c r="K12" i="28"/>
  <c r="K16" i="28" s="1"/>
  <c r="K6" i="28"/>
  <c r="K11" i="28"/>
  <c r="J11" i="28"/>
  <c r="J9" i="28"/>
  <c r="L9" i="28" s="1"/>
  <c r="J12" i="28"/>
  <c r="J7" i="28"/>
  <c r="J8" i="28"/>
  <c r="J5" i="28"/>
  <c r="J6" i="28"/>
  <c r="J10" i="28"/>
  <c r="H18" i="28"/>
  <c r="H19" i="28" s="1"/>
  <c r="H21" i="28" s="1"/>
  <c r="J4" i="28"/>
  <c r="M20" i="28"/>
  <c r="N20" i="28" s="1"/>
  <c r="M16" i="28"/>
  <c r="L16" i="28" l="1"/>
  <c r="J16" i="28"/>
  <c r="H20" i="28"/>
</calcChain>
</file>

<file path=xl/sharedStrings.xml><?xml version="1.0" encoding="utf-8"?>
<sst xmlns="http://schemas.openxmlformats.org/spreadsheetml/2006/main" count="209" uniqueCount="152">
  <si>
    <t>kg</t>
  </si>
  <si>
    <t>kWh</t>
  </si>
  <si>
    <t>tonnes*km</t>
  </si>
  <si>
    <t>waste plastic, mixture//[CH] market for waste plastic, mixture</t>
  </si>
  <si>
    <t>electricity, low voltage//[CH] market for electricity, low voltage</t>
  </si>
  <si>
    <t>transport, freight, lorry with refrigeration machine, cooling//[GLO] market for transport, freight, lorry with refrigeration machine, cooling</t>
  </si>
  <si>
    <t>packaging film, low density polyethylene//[RER] packaging film production, low density polyethylene</t>
  </si>
  <si>
    <t>biowaste//[CH] treatment of biowaste, municipal incineration with fly ash extraction</t>
  </si>
  <si>
    <t>biowaste//[CH] treatment of biowaste, industrial composting</t>
  </si>
  <si>
    <t>tap water//[CH] market for tap water</t>
  </si>
  <si>
    <t>EUR-flat pallet//[RER] EUR-flat pallet production</t>
  </si>
  <si>
    <t>biowaste//[RoW] treatment of biowaste, open dump</t>
  </si>
  <si>
    <t>corrugated board box//[RER] corrugated board box production</t>
  </si>
  <si>
    <t>unit *</t>
  </si>
  <si>
    <t>Food waste</t>
  </si>
  <si>
    <t>Electricity</t>
  </si>
  <si>
    <t>Pallet</t>
  </si>
  <si>
    <t>Cardboard</t>
  </si>
  <si>
    <t>Packaging film</t>
  </si>
  <si>
    <t>Electrical energy (flow packaging)</t>
  </si>
  <si>
    <t>Packaging</t>
  </si>
  <si>
    <t xml:space="preserve">System boundaries: </t>
  </si>
  <si>
    <t>Assumptions:</t>
  </si>
  <si>
    <t xml:space="preserve">Cultivation, secondary packaging, distribution and retail conditions are the same in both scenarios. </t>
  </si>
  <si>
    <t xml:space="preserve">Scenario 2 has in addition plastic production (LDPE, film) </t>
  </si>
  <si>
    <t>We do not account for transport from the agricultural field to the packaging industry.</t>
  </si>
  <si>
    <t>Impact 
kg CO2 eq.</t>
  </si>
  <si>
    <t>Inventory unit</t>
  </si>
  <si>
    <t>Scenario 1 = S1; Scenario 2 = S2</t>
  </si>
  <si>
    <t>For secondary packaging, we account for carton boxes and pallet.</t>
  </si>
  <si>
    <t>For distibution, we use the ecoinvent process transport, lorry with refrigeration 16 t.</t>
  </si>
  <si>
    <t>For retail we account for electricity, and for water used to wet cucumber (only if no packaging is on, so only in S1)</t>
  </si>
  <si>
    <t xml:space="preserve">Data retrieved from literature to build the case study </t>
  </si>
  <si>
    <t>Scenario 1</t>
  </si>
  <si>
    <t>Scenario 2</t>
  </si>
  <si>
    <t>"Impact factor"</t>
  </si>
  <si>
    <t>% S1</t>
  </si>
  <si>
    <t>% S2</t>
  </si>
  <si>
    <t>Cultivation</t>
  </si>
  <si>
    <t>Secondary packaging</t>
  </si>
  <si>
    <t>Retail</t>
  </si>
  <si>
    <t>Transportation</t>
  </si>
  <si>
    <t>End-of-life food waste</t>
  </si>
  <si>
    <t>Primary packaging</t>
  </si>
  <si>
    <t>End-of-life plastic waste</t>
  </si>
  <si>
    <t>Greenhouse/all/cucumber/Clune et al. (2017)</t>
  </si>
  <si>
    <t>Reference product</t>
  </si>
  <si>
    <t>input</t>
  </si>
  <si>
    <t>output</t>
  </si>
  <si>
    <t>Description</t>
  </si>
  <si>
    <t>Unit</t>
  </si>
  <si>
    <t>%</t>
  </si>
  <si>
    <t>kg/kg cucumber</t>
  </si>
  <si>
    <t>NA</t>
  </si>
  <si>
    <r>
      <t>Environmental impact Scenario 1 (kg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-eq/1 tonne cucumber)</t>
    </r>
  </si>
  <si>
    <t>Food waste Scenario 1</t>
  </si>
  <si>
    <t>Food waste Scenario 2</t>
  </si>
  <si>
    <t>Current scenario</t>
  </si>
  <si>
    <r>
      <t>Environmental impact Scenario 2 (kg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-eq/1 tonne cucumber)</t>
    </r>
  </si>
  <si>
    <t>Approx Break-even point</t>
  </si>
  <si>
    <r>
      <t>Net environmental benefit (kg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-eq / 1 tonne cucumber sold)</t>
    </r>
  </si>
  <si>
    <t>Food waste reduction due to plastic packaging (%)</t>
  </si>
  <si>
    <t>Sheet title</t>
  </si>
  <si>
    <t>Goal, scope, assumptions, additional supporting info/notes</t>
  </si>
  <si>
    <t>1. Notes</t>
  </si>
  <si>
    <t xml:space="preserve">To assess the contribution of each stage in the life-cycle of cucumber production and distribution towards climate change. </t>
  </si>
  <si>
    <t>To assess the net climate change impact due to adding a plastic wrap (LDPE film) to the cucumbers</t>
  </si>
  <si>
    <t xml:space="preserve">Functional unit: </t>
  </si>
  <si>
    <t>Scope:</t>
  </si>
  <si>
    <t>Goal:</t>
  </si>
  <si>
    <t>Supply chain of cucumbers imported from Spain and sold by retailers in Switzerland</t>
  </si>
  <si>
    <t>Adding plastic film generates impacts due to plastic production and disposal, thus increasing climate change impact. However this plastic may reduce food losses/waste at retailer level, thus reducing the environmental impact due to food waste.</t>
  </si>
  <si>
    <t xml:space="preserve">Premises: </t>
  </si>
  <si>
    <t>Farm to point-of-sale, i.e. grower-to-grocer</t>
  </si>
  <si>
    <t>Stages:</t>
  </si>
  <si>
    <t>FU is 1000 kg of cucumbers sold at retail</t>
  </si>
  <si>
    <t>Food waste at retail (%)</t>
  </si>
  <si>
    <t>Scenario 1 has 9.4% of food waste at retail</t>
  </si>
  <si>
    <t>Scenario 2 has 4.6% food waste at retail and waste due to plastic film (from all cucumbers).</t>
  </si>
  <si>
    <t>Use phase at consumer is not included due to lack of data</t>
  </si>
  <si>
    <t>Cucumbers sold at retail (kg)</t>
  </si>
  <si>
    <t>Starting volume of cucumbers</t>
  </si>
  <si>
    <t>Cucumber are produced in Spain (ES) in greenhouses (passive)</t>
  </si>
  <si>
    <t>We do not account for local transport, we account only for international transport</t>
  </si>
  <si>
    <t>We account for transport from ES to CH (1200 km), where cucumbers are sold by retailers</t>
  </si>
  <si>
    <t>We do not account for transport between retail and disposal place, as these distances are quite small</t>
  </si>
  <si>
    <t>For cultivation, we use metadata for production of cucumbers in passive greenhouses in EU (Clune et al., 2017)</t>
  </si>
  <si>
    <t>For primary packaging, i.e. plastic film production we use the process from ecoinvent on plastic packaging + electricity for wrapping from literature</t>
  </si>
  <si>
    <t>EoL is based on literature for waste disposal in CH</t>
  </si>
  <si>
    <t>2. Data</t>
  </si>
  <si>
    <t>3. LCA flows</t>
  </si>
  <si>
    <t>4. Break-even analysis</t>
  </si>
  <si>
    <t>STAGE</t>
  </si>
  <si>
    <t>Reference</t>
  </si>
  <si>
    <t>Calculated for functional unit of 1000 kg cucumbers sold at retail</t>
  </si>
  <si>
    <t>Starting volume of cucumbers produced</t>
  </si>
  <si>
    <t>calculated from retailer (1.93 g of plastic film per 350 g cucumber)</t>
  </si>
  <si>
    <t>Transportation from ES to CH</t>
  </si>
  <si>
    <t>Land distance</t>
  </si>
  <si>
    <t xml:space="preserve">km </t>
  </si>
  <si>
    <t>Water (spraying/cleaning)</t>
  </si>
  <si>
    <t>kW-h</t>
  </si>
  <si>
    <t>L/kg cucumber</t>
  </si>
  <si>
    <t xml:space="preserve">Food waste at retail </t>
  </si>
  <si>
    <t>Volume sold at retail</t>
  </si>
  <si>
    <t>kg cucumber</t>
  </si>
  <si>
    <t>FUNCTIONAL UNIT</t>
  </si>
  <si>
    <t>End of life</t>
  </si>
  <si>
    <t>Plastic waste</t>
  </si>
  <si>
    <t>Waste incinerated</t>
  </si>
  <si>
    <t>Composting</t>
  </si>
  <si>
    <t>Incineration</t>
  </si>
  <si>
    <t>Landfill</t>
  </si>
  <si>
    <t>Baier et al. (2016), CH</t>
  </si>
  <si>
    <t>Kawecki et al. (2018), CH</t>
  </si>
  <si>
    <t>Denkstatt (2017), AT</t>
  </si>
  <si>
    <t>From retailer, and literature references Vinyes et al. (2017) EU</t>
  </si>
  <si>
    <t>Calculated from retailer, CH</t>
  </si>
  <si>
    <t>from Girgenti et al. (2014), EU</t>
  </si>
  <si>
    <t>Webtool https://www.distance.to/, over 18 hours</t>
  </si>
  <si>
    <t>LCA processes from ecoinvent/meta analysis for the case study and calculations</t>
  </si>
  <si>
    <t>Calculated considering standard weights of pallets, EU, 1,200 mm × 800 mm × 144 mm (47.2 in × 31.5 in × 5.7 in) weighs 25 kg</t>
  </si>
  <si>
    <t>FU= 1000 kg cucumber sold at Retailer</t>
  </si>
  <si>
    <t>Contribution of plastic packaging (Fig. 2)</t>
  </si>
  <si>
    <t>Percent contribution</t>
  </si>
  <si>
    <t>Life cycle inventory dataset</t>
  </si>
  <si>
    <t>Stage</t>
  </si>
  <si>
    <t>TOTAL</t>
  </si>
  <si>
    <t>Net difference</t>
  </si>
  <si>
    <t>kg CO2eq/1000 kg cucumber</t>
  </si>
  <si>
    <t>Impact for 3408 tonnes CO2 (annual volume imported)</t>
  </si>
  <si>
    <t>kg CO2eq/3408 metric tonnes cucumber</t>
  </si>
  <si>
    <t>Social cost of carbon (150 CHF / tonne)</t>
  </si>
  <si>
    <t>Equivalent Swiss persons for same impact (considering 4.35 t CO2 per capita per yr)</t>
  </si>
  <si>
    <t>Swiss persons</t>
  </si>
  <si>
    <t>CHF</t>
  </si>
  <si>
    <t>Section 3.1</t>
  </si>
  <si>
    <t>Differences</t>
  </si>
  <si>
    <t>Net gain in CO2 emissions due to plastic waste</t>
  </si>
  <si>
    <t>Net loss in CO2 emissions due to food waste</t>
  </si>
  <si>
    <t>Secnario 2 - Scenario 1</t>
  </si>
  <si>
    <t>Impact of 1 cucumber wasted at retail</t>
  </si>
  <si>
    <t>kg CO2/1 cucumber</t>
  </si>
  <si>
    <t>kg CO2/1 wrap</t>
  </si>
  <si>
    <t>1 wrap =</t>
  </si>
  <si>
    <t>wasted cucumbers</t>
  </si>
  <si>
    <t>* Assuming that transportation for packaged and unpackaged cucumber is the same</t>
  </si>
  <si>
    <t>Impact of plastic wrapping 1 cucumber*</t>
  </si>
  <si>
    <t xml:space="preserve">Calculated from (3) for different levels of food waste reduction </t>
  </si>
  <si>
    <t>IPCC 2013:climate change:GWP 100a (kg CO2 eq. / inventory units)</t>
  </si>
  <si>
    <t>Figure 3b</t>
  </si>
  <si>
    <t>Fig.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</si>
</sst>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23" x14ac:knownFonts="1">
    <font>
      <sz val="11"/>
      <name val="Calibri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0"/>
      <color rgb="FF9C6500"/>
      <name val="Segoe UI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9C6500"/>
      <name val="Segoe UI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rgb="FF9C6500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  <font>
      <sz val="11"/>
      <color rgb="FF7030A0"/>
      <name val="Arial"/>
      <family val="2"/>
    </font>
    <font>
      <b/>
      <sz val="11"/>
      <color rgb="FF7030A0"/>
      <name val="Arial"/>
      <family val="2"/>
    </font>
    <font>
      <vertAlign val="superscript"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5" fillId="7" borderId="0" applyNumberFormat="0" applyBorder="0" applyAlignment="0" applyProtection="0"/>
  </cellStyleXfs>
  <cellXfs count="270">
    <xf numFmtId="0" fontId="0" fillId="0" borderId="0" xfId="0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Border="1"/>
    <xf numFmtId="0" fontId="8" fillId="0" borderId="10" xfId="0" applyFont="1" applyBorder="1"/>
    <xf numFmtId="0" fontId="9" fillId="0" borderId="9" xfId="0" applyFont="1" applyBorder="1"/>
    <xf numFmtId="0" fontId="9" fillId="0" borderId="0" xfId="0" applyFont="1" applyBorder="1"/>
    <xf numFmtId="0" fontId="11" fillId="7" borderId="0" xfId="5" applyFont="1" applyBorder="1" applyAlignment="1">
      <alignment horizontal="center"/>
    </xf>
    <xf numFmtId="0" fontId="9" fillId="0" borderId="10" xfId="0" applyFont="1" applyBorder="1"/>
    <xf numFmtId="0" fontId="12" fillId="4" borderId="0" xfId="0" applyFont="1" applyFill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/>
    <xf numFmtId="0" fontId="8" fillId="0" borderId="6" xfId="0" applyFont="1" applyBorder="1"/>
    <xf numFmtId="0" fontId="8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1" xfId="0" applyFont="1" applyBorder="1"/>
    <xf numFmtId="0" fontId="8" fillId="0" borderId="1" xfId="0" applyFont="1" applyBorder="1"/>
    <xf numFmtId="0" fontId="8" fillId="0" borderId="2" xfId="0" applyFont="1" applyBorder="1"/>
    <xf numFmtId="0" fontId="8" fillId="9" borderId="12" xfId="0" applyFont="1" applyFill="1" applyBorder="1"/>
    <xf numFmtId="0" fontId="8" fillId="9" borderId="10" xfId="0" applyFont="1" applyFill="1" applyBorder="1"/>
    <xf numFmtId="0" fontId="8" fillId="3" borderId="13" xfId="0" applyFont="1" applyFill="1" applyBorder="1"/>
    <xf numFmtId="0" fontId="8" fillId="9" borderId="13" xfId="0" applyFont="1" applyFill="1" applyBorder="1"/>
    <xf numFmtId="0" fontId="8" fillId="3" borderId="14" xfId="0" applyFont="1" applyFill="1" applyBorder="1"/>
    <xf numFmtId="0" fontId="8" fillId="9" borderId="6" xfId="0" applyFont="1" applyFill="1" applyBorder="1"/>
    <xf numFmtId="0" fontId="6" fillId="0" borderId="1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0" xfId="0" applyFont="1" applyFill="1"/>
    <xf numFmtId="0" fontId="8" fillId="0" borderId="5" xfId="0" applyFont="1" applyFill="1" applyBorder="1"/>
    <xf numFmtId="2" fontId="14" fillId="7" borderId="14" xfId="5" applyNumberFormat="1" applyFont="1" applyBorder="1"/>
    <xf numFmtId="2" fontId="14" fillId="7" borderId="6" xfId="5" applyNumberFormat="1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8" fillId="0" borderId="0" xfId="1" applyFont="1" applyFill="1" applyBorder="1"/>
    <xf numFmtId="0" fontId="19" fillId="0" borderId="0" xfId="2" applyFont="1" applyFill="1" applyBorder="1"/>
    <xf numFmtId="11" fontId="8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9" fontId="6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9" fontId="8" fillId="0" borderId="0" xfId="1" applyNumberFormat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center"/>
    </xf>
    <xf numFmtId="9" fontId="6" fillId="0" borderId="0" xfId="1" applyNumberFormat="1" applyFont="1" applyFill="1" applyBorder="1" applyAlignment="1">
      <alignment horizontal="left"/>
    </xf>
    <xf numFmtId="10" fontId="8" fillId="0" borderId="0" xfId="1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Fill="1" applyBorder="1"/>
    <xf numFmtId="9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9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0" fontId="8" fillId="0" borderId="10" xfId="1" applyFont="1" applyFill="1" applyBorder="1"/>
    <xf numFmtId="0" fontId="17" fillId="0" borderId="10" xfId="1" applyFont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6" fontId="17" fillId="0" borderId="0" xfId="1" applyNumberFormat="1" applyFont="1" applyBorder="1" applyAlignment="1">
      <alignment horizontal="center"/>
    </xf>
    <xf numFmtId="10" fontId="8" fillId="0" borderId="10" xfId="1" applyNumberFormat="1" applyFont="1" applyFill="1" applyBorder="1" applyAlignment="1">
      <alignment horizontal="center"/>
    </xf>
    <xf numFmtId="9" fontId="8" fillId="0" borderId="1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12" xfId="0" applyFont="1" applyBorder="1"/>
    <xf numFmtId="0" fontId="8" fillId="0" borderId="8" xfId="0" applyFont="1" applyBorder="1"/>
    <xf numFmtId="0" fontId="8" fillId="0" borderId="3" xfId="0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20" fillId="0" borderId="0" xfId="0" applyFont="1"/>
    <xf numFmtId="0" fontId="6" fillId="0" borderId="13" xfId="0" applyFont="1" applyBorder="1" applyAlignment="1">
      <alignment horizontal="left"/>
    </xf>
    <xf numFmtId="2" fontId="8" fillId="0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0" fontId="8" fillId="6" borderId="10" xfId="4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0" fillId="0" borderId="0" xfId="0" quotePrefix="1" applyFont="1"/>
    <xf numFmtId="10" fontId="8" fillId="0" borderId="13" xfId="0" applyNumberFormat="1" applyFont="1" applyFill="1" applyBorder="1" applyAlignment="1">
      <alignment horizontal="center"/>
    </xf>
    <xf numFmtId="0" fontId="20" fillId="0" borderId="0" xfId="0" applyFont="1" applyBorder="1"/>
    <xf numFmtId="0" fontId="6" fillId="0" borderId="14" xfId="0" applyFont="1" applyBorder="1"/>
    <xf numFmtId="0" fontId="8" fillId="0" borderId="14" xfId="0" applyFont="1" applyFill="1" applyBorder="1"/>
    <xf numFmtId="0" fontId="8" fillId="0" borderId="7" xfId="0" applyFont="1" applyFill="1" applyBorder="1"/>
    <xf numFmtId="2" fontId="8" fillId="0" borderId="5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0" fontId="8" fillId="6" borderId="6" xfId="4" applyNumberFormat="1" applyFont="1" applyFill="1" applyBorder="1" applyAlignment="1">
      <alignment horizontal="center" vertical="center"/>
    </xf>
    <xf numFmtId="10" fontId="8" fillId="0" borderId="14" xfId="0" applyNumberFormat="1" applyFont="1" applyFill="1" applyBorder="1" applyAlignment="1">
      <alignment horizontal="center"/>
    </xf>
    <xf numFmtId="0" fontId="8" fillId="0" borderId="15" xfId="0" applyFont="1" applyBorder="1"/>
    <xf numFmtId="0" fontId="20" fillId="0" borderId="15" xfId="0" applyFont="1" applyBorder="1"/>
    <xf numFmtId="2" fontId="8" fillId="0" borderId="15" xfId="0" applyNumberFormat="1" applyFont="1" applyFill="1" applyBorder="1" applyAlignment="1">
      <alignment horizontal="center" vertical="center" wrapText="1"/>
    </xf>
    <xf numFmtId="166" fontId="6" fillId="9" borderId="1" xfId="0" applyNumberFormat="1" applyFont="1" applyFill="1" applyBorder="1" applyAlignment="1">
      <alignment horizontal="center" vertical="center"/>
    </xf>
    <xf numFmtId="166" fontId="6" fillId="9" borderId="2" xfId="0" applyNumberFormat="1" applyFont="1" applyFill="1" applyBorder="1" applyAlignment="1">
      <alignment horizontal="center" vertical="center"/>
    </xf>
    <xf numFmtId="166" fontId="6" fillId="9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0" fontId="8" fillId="0" borderId="0" xfId="4" applyNumberFormat="1" applyFont="1" applyFill="1" applyBorder="1" applyAlignment="1">
      <alignment horizontal="left" vertical="center"/>
    </xf>
    <xf numFmtId="165" fontId="20" fillId="0" borderId="0" xfId="4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2" fontId="6" fillId="9" borderId="14" xfId="0" applyNumberFormat="1" applyFont="1" applyFill="1" applyBorder="1" applyAlignment="1">
      <alignment horizontal="center" vertical="center"/>
    </xf>
    <xf numFmtId="165" fontId="8" fillId="0" borderId="0" xfId="4" applyNumberFormat="1" applyFont="1" applyFill="1" applyBorder="1" applyAlignment="1">
      <alignment horizontal="center" vertical="center"/>
    </xf>
    <xf numFmtId="1" fontId="6" fillId="9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66" fontId="6" fillId="9" borderId="15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10" fontId="8" fillId="6" borderId="9" xfId="4" applyNumberFormat="1" applyFont="1" applyFill="1" applyBorder="1" applyAlignment="1">
      <alignment horizontal="center" vertical="center"/>
    </xf>
    <xf numFmtId="10" fontId="8" fillId="6" borderId="5" xfId="4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2" fontId="8" fillId="0" borderId="1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10" fontId="8" fillId="6" borderId="1" xfId="4" applyNumberFormat="1" applyFont="1" applyFill="1" applyBorder="1" applyAlignment="1">
      <alignment horizontal="center" vertical="center"/>
    </xf>
    <xf numFmtId="10" fontId="8" fillId="6" borderId="2" xfId="4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0" fontId="8" fillId="6" borderId="8" xfId="4" applyNumberFormat="1" applyFont="1" applyFill="1" applyBorder="1" applyAlignment="1">
      <alignment horizontal="center" vertical="center"/>
    </xf>
    <xf numFmtId="10" fontId="8" fillId="6" borderId="4" xfId="4" applyNumberFormat="1" applyFont="1" applyFill="1" applyBorder="1" applyAlignment="1">
      <alignment horizontal="center" vertical="center"/>
    </xf>
    <xf numFmtId="0" fontId="8" fillId="0" borderId="14" xfId="0" applyFont="1" applyBorder="1"/>
    <xf numFmtId="2" fontId="8" fillId="0" borderId="5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0" borderId="12" xfId="0" applyFont="1" applyFill="1" applyBorder="1"/>
    <xf numFmtId="0" fontId="8" fillId="0" borderId="3" xfId="0" applyFont="1" applyFill="1" applyBorder="1"/>
    <xf numFmtId="2" fontId="8" fillId="0" borderId="8" xfId="0" applyNumberFormat="1" applyFont="1" applyFill="1" applyBorder="1" applyAlignment="1">
      <alignment horizontal="center" vertical="center"/>
    </xf>
    <xf numFmtId="10" fontId="8" fillId="0" borderId="12" xfId="0" applyNumberFormat="1" applyFont="1" applyFill="1" applyBorder="1" applyAlignment="1">
      <alignment horizontal="center"/>
    </xf>
    <xf numFmtId="0" fontId="6" fillId="0" borderId="3" xfId="0" applyFont="1" applyBorder="1"/>
    <xf numFmtId="0" fontId="10" fillId="0" borderId="0" xfId="0" applyFont="1" applyBorder="1"/>
    <xf numFmtId="0" fontId="13" fillId="0" borderId="0" xfId="0" applyFont="1" applyBorder="1"/>
    <xf numFmtId="0" fontId="10" fillId="0" borderId="7" xfId="0" applyFont="1" applyBorder="1"/>
    <xf numFmtId="0" fontId="9" fillId="0" borderId="11" xfId="0" applyFont="1" applyBorder="1"/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" fontId="8" fillId="0" borderId="11" xfId="0" applyNumberFormat="1" applyFont="1" applyFill="1" applyBorder="1" applyAlignment="1">
      <alignment horizontal="center"/>
    </xf>
    <xf numFmtId="0" fontId="16" fillId="0" borderId="0" xfId="0" applyFont="1" applyFill="1" applyBorder="1"/>
    <xf numFmtId="1" fontId="16" fillId="0" borderId="0" xfId="0" applyNumberFormat="1" applyFont="1" applyFill="1" applyBorder="1"/>
    <xf numFmtId="11" fontId="8" fillId="0" borderId="0" xfId="0" applyNumberFormat="1" applyFont="1"/>
    <xf numFmtId="1" fontId="8" fillId="0" borderId="12" xfId="0" applyNumberFormat="1" applyFont="1" applyFill="1" applyBorder="1" applyAlignment="1">
      <alignment horizontal="center"/>
    </xf>
    <xf numFmtId="2" fontId="16" fillId="0" borderId="0" xfId="0" applyNumberFormat="1" applyFont="1" applyFill="1" applyBorder="1"/>
    <xf numFmtId="164" fontId="8" fillId="0" borderId="0" xfId="0" applyNumberFormat="1" applyFont="1" applyFill="1" applyBorder="1"/>
    <xf numFmtId="1" fontId="8" fillId="0" borderId="14" xfId="0" applyNumberFormat="1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1" fontId="18" fillId="0" borderId="0" xfId="0" applyNumberFormat="1" applyFont="1" applyFill="1" applyBorder="1"/>
    <xf numFmtId="1" fontId="8" fillId="0" borderId="0" xfId="0" applyNumberFormat="1" applyFont="1" applyFill="1" applyBorder="1"/>
    <xf numFmtId="2" fontId="8" fillId="0" borderId="0" xfId="0" applyNumberFormat="1" applyFont="1" applyFill="1" applyBorder="1"/>
    <xf numFmtId="11" fontId="8" fillId="0" borderId="0" xfId="0" applyNumberFormat="1" applyFont="1" applyBorder="1"/>
    <xf numFmtId="0" fontId="20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/>
    <xf numFmtId="11" fontId="8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1" fontId="6" fillId="11" borderId="6" xfId="0" applyNumberFormat="1" applyFont="1" applyFill="1" applyBorder="1" applyAlignment="1">
      <alignment horizontal="center" vertical="center" wrapText="1"/>
    </xf>
    <xf numFmtId="11" fontId="8" fillId="0" borderId="0" xfId="0" applyNumberFormat="1" applyFont="1" applyFill="1" applyBorder="1" applyAlignment="1">
      <alignment horizontal="center" vertical="center"/>
    </xf>
    <xf numFmtId="9" fontId="8" fillId="0" borderId="0" xfId="4" applyFont="1" applyFill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0" fontId="22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0" xfId="0" applyFont="1" applyFill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2" fontId="20" fillId="0" borderId="0" xfId="0" applyNumberFormat="1" applyFont="1" applyFill="1" applyBorder="1"/>
    <xf numFmtId="1" fontId="21" fillId="0" borderId="0" xfId="0" applyNumberFormat="1" applyFont="1" applyFill="1" applyBorder="1"/>
    <xf numFmtId="0" fontId="21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166" fontId="6" fillId="9" borderId="15" xfId="0" applyNumberFormat="1" applyFont="1" applyFill="1" applyBorder="1" applyAlignment="1">
      <alignment horizontal="center"/>
    </xf>
    <xf numFmtId="0" fontId="6" fillId="0" borderId="15" xfId="0" applyFont="1" applyFill="1" applyBorder="1"/>
    <xf numFmtId="0" fontId="8" fillId="0" borderId="2" xfId="0" applyFont="1" applyFill="1" applyBorder="1"/>
    <xf numFmtId="0" fontId="6" fillId="0" borderId="1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 vertical="center"/>
    </xf>
    <xf numFmtId="166" fontId="6" fillId="11" borderId="14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Fill="1" applyBorder="1"/>
    <xf numFmtId="9" fontId="6" fillId="0" borderId="8" xfId="0" applyNumberFormat="1" applyFont="1" applyFill="1" applyBorder="1" applyAlignment="1">
      <alignment horizontal="center"/>
    </xf>
    <xf numFmtId="0" fontId="6" fillId="5" borderId="12" xfId="0" applyFont="1" applyFill="1" applyBorder="1"/>
    <xf numFmtId="0" fontId="8" fillId="0" borderId="8" xfId="0" applyFont="1" applyFill="1" applyBorder="1"/>
    <xf numFmtId="0" fontId="8" fillId="0" borderId="4" xfId="0" applyFont="1" applyFill="1" applyBorder="1"/>
    <xf numFmtId="0" fontId="6" fillId="0" borderId="3" xfId="0" applyNumberFormat="1" applyFont="1" applyFill="1" applyBorder="1"/>
    <xf numFmtId="0" fontId="19" fillId="0" borderId="3" xfId="2" applyFont="1" applyFill="1" applyBorder="1"/>
    <xf numFmtId="0" fontId="8" fillId="0" borderId="5" xfId="0" applyFont="1" applyFill="1" applyBorder="1" applyAlignment="1">
      <alignment horizontal="center"/>
    </xf>
    <xf numFmtId="165" fontId="8" fillId="0" borderId="6" xfId="4" applyNumberFormat="1" applyFont="1" applyFill="1" applyBorder="1" applyAlignment="1">
      <alignment horizontal="center"/>
    </xf>
    <xf numFmtId="2" fontId="8" fillId="0" borderId="7" xfId="0" applyNumberFormat="1" applyFont="1" applyBorder="1"/>
    <xf numFmtId="0" fontId="8" fillId="0" borderId="8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3" xfId="1" applyFont="1" applyFill="1" applyBorder="1"/>
    <xf numFmtId="2" fontId="8" fillId="0" borderId="3" xfId="0" applyNumberFormat="1" applyFont="1" applyBorder="1"/>
    <xf numFmtId="0" fontId="6" fillId="8" borderId="13" xfId="0" applyFont="1" applyFill="1" applyBorder="1"/>
    <xf numFmtId="0" fontId="8" fillId="0" borderId="9" xfId="1" applyFont="1" applyFill="1" applyBorder="1" applyAlignment="1">
      <alignment horizontal="center"/>
    </xf>
    <xf numFmtId="0" fontId="8" fillId="0" borderId="13" xfId="1" applyFont="1" applyFill="1" applyBorder="1"/>
    <xf numFmtId="0" fontId="15" fillId="0" borderId="13" xfId="1" applyFont="1" applyFill="1" applyBorder="1"/>
    <xf numFmtId="11" fontId="8" fillId="0" borderId="9" xfId="1" applyNumberFormat="1" applyFont="1" applyFill="1" applyBorder="1" applyAlignment="1">
      <alignment horizontal="center"/>
    </xf>
    <xf numFmtId="2" fontId="8" fillId="0" borderId="9" xfId="1" applyNumberFormat="1" applyFont="1" applyFill="1" applyBorder="1" applyAlignment="1">
      <alignment horizontal="center"/>
    </xf>
    <xf numFmtId="0" fontId="8" fillId="0" borderId="14" xfId="1" applyFont="1" applyFill="1" applyBorder="1"/>
    <xf numFmtId="0" fontId="8" fillId="0" borderId="5" xfId="1" applyFont="1" applyFill="1" applyBorder="1" applyAlignment="1">
      <alignment horizontal="center"/>
    </xf>
    <xf numFmtId="0" fontId="8" fillId="0" borderId="7" xfId="1" applyFont="1" applyFill="1" applyBorder="1"/>
    <xf numFmtId="0" fontId="6" fillId="0" borderId="14" xfId="1" applyFont="1" applyFill="1" applyBorder="1"/>
    <xf numFmtId="0" fontId="8" fillId="0" borderId="5" xfId="1" applyFont="1" applyFill="1" applyBorder="1"/>
    <xf numFmtId="0" fontId="8" fillId="0" borderId="6" xfId="1" applyFont="1" applyFill="1" applyBorder="1"/>
    <xf numFmtId="0" fontId="8" fillId="0" borderId="7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left"/>
    </xf>
    <xf numFmtId="0" fontId="17" fillId="0" borderId="9" xfId="1" applyFont="1" applyBorder="1" applyAlignment="1">
      <alignment horizontal="center"/>
    </xf>
    <xf numFmtId="164" fontId="17" fillId="0" borderId="9" xfId="1" applyNumberFormat="1" applyFont="1" applyBorder="1" applyAlignment="1">
      <alignment horizontal="center"/>
    </xf>
    <xf numFmtId="166" fontId="17" fillId="0" borderId="9" xfId="1" applyNumberFormat="1" applyFont="1" applyBorder="1" applyAlignment="1">
      <alignment horizontal="center"/>
    </xf>
    <xf numFmtId="0" fontId="8" fillId="0" borderId="4" xfId="1" applyFont="1" applyFill="1" applyBorder="1"/>
    <xf numFmtId="0" fontId="8" fillId="0" borderId="9" xfId="0" applyFont="1" applyFill="1" applyBorder="1" applyAlignment="1">
      <alignment horizontal="center"/>
    </xf>
    <xf numFmtId="0" fontId="18" fillId="0" borderId="0" xfId="0" applyFont="1" applyFill="1" applyBorder="1"/>
    <xf numFmtId="10" fontId="14" fillId="7" borderId="11" xfId="5" applyNumberFormat="1" applyFont="1" applyBorder="1"/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</cellXfs>
  <cellStyles count="6">
    <cellStyle name="Hyperlink" xfId="2" builtinId="8"/>
    <cellStyle name="Neutral" xfId="5" builtinId="28"/>
    <cellStyle name="Normal" xfId="0" builtinId="0"/>
    <cellStyle name="Normal 2" xfId="1"/>
    <cellStyle name="Normal 2 2" xfId="3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FF33"/>
      <color rgb="FFFFFFCC"/>
      <color rgb="FF33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Break-even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'4. Break-even analysis '!$G$1</c:f>
              <c:strCache>
                <c:ptCount val="1"/>
                <c:pt idx="0">
                  <c:v>Net environmental benefit (kg CO2-eq / 1 tonne cucumber sold)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'4. Break-even analysis '!$F$2:$F$9</c:f>
              <c:numCache>
                <c:formatCode>General</c:formatCode>
                <c:ptCount val="8"/>
                <c:pt idx="0">
                  <c:v>0</c:v>
                </c:pt>
                <c:pt idx="1">
                  <c:v>1.0999999999999996</c:v>
                </c:pt>
                <c:pt idx="2">
                  <c:v>2.0000000000000009</c:v>
                </c:pt>
                <c:pt idx="3">
                  <c:v>3</c:v>
                </c:pt>
                <c:pt idx="4">
                  <c:v>4</c:v>
                </c:pt>
                <c:pt idx="5">
                  <c:v>4.8000000000000007</c:v>
                </c:pt>
                <c:pt idx="6">
                  <c:v>5.0000000000000009</c:v>
                </c:pt>
                <c:pt idx="7">
                  <c:v>6</c:v>
                </c:pt>
              </c:numCache>
            </c:numRef>
          </c:xVal>
          <c:yVal>
            <c:numRef>
              <c:f>'4. Break-even analysis '!$G$2:$G$9</c:f>
              <c:numCache>
                <c:formatCode>General</c:formatCode>
                <c:ptCount val="8"/>
                <c:pt idx="0">
                  <c:v>-36.804000000000087</c:v>
                </c:pt>
                <c:pt idx="1">
                  <c:v>1.9056000000000495</c:v>
                </c:pt>
                <c:pt idx="2">
                  <c:v>32.893299999999726</c:v>
                </c:pt>
                <c:pt idx="3">
                  <c:v>66.625300000000152</c:v>
                </c:pt>
                <c:pt idx="4">
                  <c:v>99.64409999999998</c:v>
                </c:pt>
                <c:pt idx="5">
                  <c:v>125.5607</c:v>
                </c:pt>
                <c:pt idx="6">
                  <c:v>131.97209999999995</c:v>
                </c:pt>
                <c:pt idx="7">
                  <c:v>163.63079999999991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73-43E4-A3E6-D647F7BFD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130040"/>
        <c:axId val="551134304"/>
      </c:scatterChart>
      <c:valAx>
        <c:axId val="551130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Food waste reduction due to plastic wrap (%)</a:t>
                </a:r>
              </a:p>
            </c:rich>
          </c:tx>
          <c:layout>
            <c:manualLayout>
              <c:xMode val="edge"/>
              <c:yMode val="edge"/>
              <c:x val="0.26725809273840773"/>
              <c:y val="0.91898148148148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134304"/>
        <c:crosses val="autoZero"/>
        <c:crossBetween val="midCat"/>
      </c:valAx>
      <c:valAx>
        <c:axId val="5511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Net environmental benefit (kg CO</a:t>
                </a:r>
                <a:r>
                  <a:rPr lang="en-US" b="1" baseline="-25000"/>
                  <a:t>2</a:t>
                </a:r>
                <a:r>
                  <a:rPr lang="en-US" b="1"/>
                  <a:t>-eq/1 tonne cucumber</a:t>
                </a:r>
                <a:r>
                  <a:rPr lang="en-US" b="1" baseline="0"/>
                  <a:t> sold)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130040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11</xdr:row>
      <xdr:rowOff>38100</xdr:rowOff>
    </xdr:from>
    <xdr:to>
      <xdr:col>11</xdr:col>
      <xdr:colOff>533400</xdr:colOff>
      <xdr:row>31</xdr:row>
      <xdr:rowOff>87117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095500"/>
          <a:ext cx="4152900" cy="3716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280986</xdr:rowOff>
    </xdr:from>
    <xdr:to>
      <xdr:col>13</xdr:col>
      <xdr:colOff>333375</xdr:colOff>
      <xdr:row>14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workbookViewId="0">
      <selection activeCell="C22" sqref="C22"/>
    </sheetView>
  </sheetViews>
  <sheetFormatPr defaultRowHeight="14.25" x14ac:dyDescent="0.2"/>
  <cols>
    <col min="1" max="1" width="3.28515625" style="1" customWidth="1"/>
    <col min="2" max="2" width="23.85546875" style="1" customWidth="1"/>
    <col min="3" max="3" width="79.5703125" style="1" customWidth="1"/>
    <col min="4" max="16384" width="9.140625" style="1"/>
  </cols>
  <sheetData>
    <row r="1" spans="2:3" ht="15" thickBot="1" x14ac:dyDescent="0.25"/>
    <row r="2" spans="2:3" ht="15.75" thickBot="1" x14ac:dyDescent="0.3">
      <c r="B2" s="51" t="s">
        <v>62</v>
      </c>
      <c r="C2" s="52" t="s">
        <v>49</v>
      </c>
    </row>
    <row r="3" spans="2:3" x14ac:dyDescent="0.2">
      <c r="B3" s="5" t="s">
        <v>64</v>
      </c>
      <c r="C3" s="7" t="s">
        <v>63</v>
      </c>
    </row>
    <row r="4" spans="2:3" x14ac:dyDescent="0.2">
      <c r="B4" s="5" t="s">
        <v>89</v>
      </c>
      <c r="C4" s="7" t="s">
        <v>32</v>
      </c>
    </row>
    <row r="5" spans="2:3" x14ac:dyDescent="0.2">
      <c r="B5" s="5" t="s">
        <v>90</v>
      </c>
      <c r="C5" s="7" t="s">
        <v>120</v>
      </c>
    </row>
    <row r="6" spans="2:3" ht="15" thickBot="1" x14ac:dyDescent="0.25">
      <c r="B6" s="32" t="s">
        <v>91</v>
      </c>
      <c r="C6" s="53" t="s">
        <v>148</v>
      </c>
    </row>
    <row r="8" spans="2:3" x14ac:dyDescent="0.2">
      <c r="B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6" workbookViewId="0">
      <selection activeCell="P39" sqref="P39"/>
    </sheetView>
  </sheetViews>
  <sheetFormatPr defaultRowHeight="14.25" x14ac:dyDescent="0.2"/>
  <cols>
    <col min="1" max="1" width="2.85546875" style="1" customWidth="1"/>
    <col min="2" max="2" width="18.140625" style="1" customWidth="1"/>
    <col min="3" max="13" width="9.140625" style="1"/>
    <col min="14" max="14" width="28.28515625" style="1" customWidth="1"/>
    <col min="15" max="15" width="11.28515625" style="1" customWidth="1"/>
    <col min="16" max="16" width="11" style="1" customWidth="1"/>
    <col min="17" max="16384" width="9.140625" style="1"/>
  </cols>
  <sheetData>
    <row r="1" spans="1:16" ht="15" thickBot="1" x14ac:dyDescent="0.25"/>
    <row r="2" spans="1:16" s="71" customFormat="1" ht="15" x14ac:dyDescent="0.25">
      <c r="A2" s="70"/>
      <c r="B2" s="159" t="s">
        <v>69</v>
      </c>
    </row>
    <row r="3" spans="1:16" s="6" customFormat="1" x14ac:dyDescent="0.2">
      <c r="A3" s="5"/>
      <c r="B3" s="6" t="s">
        <v>65</v>
      </c>
    </row>
    <row r="4" spans="1:16" s="6" customFormat="1" x14ac:dyDescent="0.2">
      <c r="A4" s="5"/>
      <c r="B4" s="6" t="s">
        <v>66</v>
      </c>
    </row>
    <row r="5" spans="1:16" s="14" customFormat="1" ht="15" thickBot="1" x14ac:dyDescent="0.25">
      <c r="A5" s="13"/>
    </row>
    <row r="6" spans="1:16" s="71" customFormat="1" ht="15" x14ac:dyDescent="0.25">
      <c r="A6" s="70"/>
      <c r="B6" s="159" t="s">
        <v>68</v>
      </c>
    </row>
    <row r="7" spans="1:16" s="6" customFormat="1" x14ac:dyDescent="0.2">
      <c r="A7" s="5"/>
      <c r="B7" s="6" t="s">
        <v>70</v>
      </c>
    </row>
    <row r="8" spans="1:16" s="14" customFormat="1" ht="15" thickBot="1" x14ac:dyDescent="0.25">
      <c r="A8" s="13"/>
    </row>
    <row r="9" spans="1:16" s="71" customFormat="1" ht="15" x14ac:dyDescent="0.25">
      <c r="A9" s="70"/>
      <c r="B9" s="159" t="s">
        <v>72</v>
      </c>
    </row>
    <row r="10" spans="1:16" s="6" customFormat="1" x14ac:dyDescent="0.2">
      <c r="A10" s="5"/>
      <c r="B10" s="6" t="s">
        <v>71</v>
      </c>
    </row>
    <row r="11" spans="1:16" s="14" customFormat="1" ht="15" thickBot="1" x14ac:dyDescent="0.25">
      <c r="A11" s="13"/>
    </row>
    <row r="12" spans="1:16" s="71" customFormat="1" ht="15.75" thickBot="1" x14ac:dyDescent="0.3">
      <c r="A12" s="70"/>
      <c r="B12" s="159" t="s">
        <v>21</v>
      </c>
    </row>
    <row r="13" spans="1:16" s="6" customFormat="1" ht="15.75" thickBot="1" x14ac:dyDescent="0.3">
      <c r="A13" s="5"/>
      <c r="B13" s="6" t="s">
        <v>73</v>
      </c>
      <c r="N13" s="19" t="s">
        <v>74</v>
      </c>
      <c r="O13" s="20" t="s">
        <v>33</v>
      </c>
      <c r="P13" s="21" t="s">
        <v>34</v>
      </c>
    </row>
    <row r="14" spans="1:16" s="6" customFormat="1" x14ac:dyDescent="0.2">
      <c r="A14" s="5"/>
      <c r="N14" s="5" t="s">
        <v>38</v>
      </c>
      <c r="O14" s="22"/>
      <c r="P14" s="23"/>
    </row>
    <row r="15" spans="1:16" s="6" customFormat="1" x14ac:dyDescent="0.2">
      <c r="A15" s="5"/>
      <c r="M15" s="160"/>
      <c r="N15" s="5" t="s">
        <v>43</v>
      </c>
      <c r="O15" s="24"/>
      <c r="P15" s="23"/>
    </row>
    <row r="16" spans="1:16" s="6" customFormat="1" x14ac:dyDescent="0.2">
      <c r="A16" s="5"/>
      <c r="N16" s="5" t="s">
        <v>39</v>
      </c>
      <c r="O16" s="25"/>
      <c r="P16" s="23"/>
    </row>
    <row r="17" spans="1:16" s="6" customFormat="1" x14ac:dyDescent="0.2">
      <c r="A17" s="5"/>
      <c r="N17" s="5" t="s">
        <v>41</v>
      </c>
      <c r="O17" s="25"/>
      <c r="P17" s="23"/>
    </row>
    <row r="18" spans="1:16" s="6" customFormat="1" x14ac:dyDescent="0.2">
      <c r="A18" s="5"/>
      <c r="N18" s="5" t="s">
        <v>40</v>
      </c>
      <c r="O18" s="25"/>
      <c r="P18" s="23"/>
    </row>
    <row r="19" spans="1:16" s="6" customFormat="1" x14ac:dyDescent="0.2">
      <c r="A19" s="5"/>
      <c r="N19" s="5" t="s">
        <v>42</v>
      </c>
      <c r="O19" s="25"/>
      <c r="P19" s="23"/>
    </row>
    <row r="20" spans="1:16" s="6" customFormat="1" ht="15" thickBot="1" x14ac:dyDescent="0.25">
      <c r="A20" s="5"/>
      <c r="N20" s="13" t="s">
        <v>44</v>
      </c>
      <c r="O20" s="26"/>
      <c r="P20" s="27"/>
    </row>
    <row r="21" spans="1:16" s="6" customFormat="1" x14ac:dyDescent="0.2">
      <c r="A21" s="5"/>
    </row>
    <row r="22" spans="1:16" s="6" customFormat="1" x14ac:dyDescent="0.2">
      <c r="A22" s="5"/>
    </row>
    <row r="23" spans="1:16" s="6" customFormat="1" x14ac:dyDescent="0.2">
      <c r="A23" s="5"/>
      <c r="B23" s="161"/>
    </row>
    <row r="24" spans="1:16" s="6" customFormat="1" x14ac:dyDescent="0.2">
      <c r="A24" s="5"/>
    </row>
    <row r="25" spans="1:16" s="6" customFormat="1" x14ac:dyDescent="0.2">
      <c r="A25" s="5"/>
    </row>
    <row r="26" spans="1:16" s="6" customFormat="1" x14ac:dyDescent="0.2">
      <c r="A26" s="5"/>
    </row>
    <row r="27" spans="1:16" s="6" customFormat="1" x14ac:dyDescent="0.2">
      <c r="A27" s="5"/>
    </row>
    <row r="28" spans="1:16" s="6" customFormat="1" x14ac:dyDescent="0.2">
      <c r="A28" s="5"/>
    </row>
    <row r="29" spans="1:16" s="6" customFormat="1" x14ac:dyDescent="0.2">
      <c r="A29" s="5"/>
    </row>
    <row r="30" spans="1:16" s="6" customFormat="1" x14ac:dyDescent="0.2">
      <c r="A30" s="5"/>
    </row>
    <row r="31" spans="1:16" s="6" customFormat="1" x14ac:dyDescent="0.2">
      <c r="A31" s="5"/>
    </row>
    <row r="32" spans="1:16" s="14" customFormat="1" ht="15" thickBot="1" x14ac:dyDescent="0.25">
      <c r="A32" s="13"/>
    </row>
    <row r="33" spans="1:24" s="71" customFormat="1" ht="15" x14ac:dyDescent="0.25">
      <c r="A33" s="70"/>
      <c r="B33" s="159" t="s">
        <v>67</v>
      </c>
    </row>
    <row r="34" spans="1:24" s="6" customFormat="1" ht="15" x14ac:dyDescent="0.25">
      <c r="A34" s="5"/>
      <c r="B34" s="6" t="s">
        <v>75</v>
      </c>
      <c r="I34" s="9"/>
    </row>
    <row r="35" spans="1:24" s="6" customFormat="1" ht="15" x14ac:dyDescent="0.25">
      <c r="A35" s="5"/>
      <c r="B35" s="6" t="s">
        <v>28</v>
      </c>
      <c r="I35" s="9"/>
    </row>
    <row r="36" spans="1:24" s="6" customFormat="1" ht="15" thickBot="1" x14ac:dyDescent="0.25">
      <c r="A36" s="5"/>
      <c r="B36" s="6" t="s">
        <v>23</v>
      </c>
    </row>
    <row r="37" spans="1:24" s="6" customFormat="1" ht="15.75" thickBot="1" x14ac:dyDescent="0.3">
      <c r="A37" s="5"/>
      <c r="B37" s="6" t="s">
        <v>24</v>
      </c>
      <c r="N37" s="28" t="s">
        <v>49</v>
      </c>
      <c r="O37" s="29" t="s">
        <v>33</v>
      </c>
      <c r="P37" s="21" t="s">
        <v>34</v>
      </c>
    </row>
    <row r="38" spans="1:24" s="6" customFormat="1" x14ac:dyDescent="0.2">
      <c r="A38" s="5"/>
      <c r="B38" s="6" t="s">
        <v>79</v>
      </c>
      <c r="N38" s="5" t="s">
        <v>76</v>
      </c>
      <c r="O38" s="30">
        <v>9.4</v>
      </c>
      <c r="P38" s="7">
        <v>4.5999999999999996</v>
      </c>
    </row>
    <row r="39" spans="1:24" s="6" customFormat="1" x14ac:dyDescent="0.2">
      <c r="A39" s="5"/>
      <c r="B39" s="35" t="s">
        <v>77</v>
      </c>
      <c r="C39" s="35"/>
      <c r="D39" s="35"/>
      <c r="E39" s="35"/>
      <c r="F39" s="35"/>
      <c r="G39" s="35"/>
      <c r="H39" s="35"/>
      <c r="I39" s="35"/>
      <c r="N39" s="5" t="s">
        <v>80</v>
      </c>
      <c r="O39" s="30">
        <v>1000</v>
      </c>
      <c r="P39" s="7">
        <v>1000</v>
      </c>
    </row>
    <row r="40" spans="1:24" s="6" customFormat="1" ht="15.75" thickBot="1" x14ac:dyDescent="0.3">
      <c r="A40" s="5"/>
      <c r="B40" s="35" t="s">
        <v>78</v>
      </c>
      <c r="C40" s="35"/>
      <c r="D40" s="35"/>
      <c r="E40" s="35"/>
      <c r="F40" s="35"/>
      <c r="G40" s="35"/>
      <c r="H40" s="35"/>
      <c r="I40" s="35"/>
      <c r="N40" s="32" t="s">
        <v>81</v>
      </c>
      <c r="O40" s="33">
        <f>1000/(1-O38/100)</f>
        <v>1103.7527593818984</v>
      </c>
      <c r="P40" s="34">
        <f>1000/(1-P38/100)</f>
        <v>1048.2180293501049</v>
      </c>
    </row>
    <row r="41" spans="1:24" s="14" customFormat="1" ht="15" thickBot="1" x14ac:dyDescent="0.25">
      <c r="A41" s="13"/>
    </row>
    <row r="42" spans="1:24" s="71" customFormat="1" ht="15" x14ac:dyDescent="0.25">
      <c r="A42" s="70"/>
      <c r="B42" s="159" t="s">
        <v>22</v>
      </c>
    </row>
    <row r="43" spans="1:24" s="6" customFormat="1" x14ac:dyDescent="0.2">
      <c r="A43" s="5"/>
      <c r="B43" s="6" t="s">
        <v>82</v>
      </c>
    </row>
    <row r="44" spans="1:24" s="6" customFormat="1" x14ac:dyDescent="0.2">
      <c r="A44" s="5"/>
      <c r="B44" s="6" t="s">
        <v>83</v>
      </c>
    </row>
    <row r="45" spans="1:24" s="6" customFormat="1" x14ac:dyDescent="0.2">
      <c r="A45" s="5"/>
      <c r="B45" s="6" t="s">
        <v>25</v>
      </c>
      <c r="R45" s="160"/>
      <c r="T45" s="160"/>
      <c r="U45" s="160"/>
      <c r="V45" s="160"/>
      <c r="W45" s="160"/>
      <c r="X45" s="160"/>
    </row>
    <row r="46" spans="1:24" s="6" customFormat="1" x14ac:dyDescent="0.2">
      <c r="A46" s="5"/>
      <c r="B46" s="6" t="s">
        <v>84</v>
      </c>
    </row>
    <row r="47" spans="1:24" s="6" customFormat="1" x14ac:dyDescent="0.2">
      <c r="A47" s="5"/>
      <c r="B47" s="6" t="s">
        <v>85</v>
      </c>
      <c r="R47" s="160"/>
      <c r="T47" s="160"/>
      <c r="U47" s="160"/>
      <c r="V47" s="160"/>
      <c r="W47" s="160"/>
      <c r="X47" s="160"/>
    </row>
    <row r="48" spans="1:24" s="6" customFormat="1" x14ac:dyDescent="0.2">
      <c r="A48" s="5"/>
      <c r="B48" s="6" t="s">
        <v>86</v>
      </c>
      <c r="R48" s="160"/>
      <c r="T48" s="160"/>
      <c r="U48" s="160"/>
      <c r="V48" s="160"/>
      <c r="W48" s="160"/>
      <c r="X48" s="160"/>
    </row>
    <row r="49" spans="1:24" s="6" customFormat="1" x14ac:dyDescent="0.2">
      <c r="A49" s="5"/>
      <c r="B49" s="6" t="s">
        <v>29</v>
      </c>
      <c r="R49" s="160"/>
      <c r="T49" s="160"/>
      <c r="U49" s="160"/>
      <c r="V49" s="160"/>
      <c r="W49" s="160"/>
      <c r="X49" s="160"/>
    </row>
    <row r="50" spans="1:24" s="6" customFormat="1" x14ac:dyDescent="0.2">
      <c r="A50" s="5"/>
      <c r="B50" s="6" t="s">
        <v>87</v>
      </c>
      <c r="S50" s="160"/>
      <c r="T50" s="160"/>
      <c r="U50" s="160"/>
      <c r="V50" s="160"/>
      <c r="W50" s="160"/>
      <c r="X50" s="160"/>
    </row>
    <row r="51" spans="1:24" s="6" customFormat="1" x14ac:dyDescent="0.2">
      <c r="A51" s="5"/>
      <c r="B51" s="6" t="s">
        <v>30</v>
      </c>
      <c r="C51" s="35"/>
      <c r="D51" s="35"/>
      <c r="E51" s="35"/>
      <c r="F51" s="35"/>
      <c r="T51" s="160"/>
    </row>
    <row r="52" spans="1:24" s="6" customFormat="1" x14ac:dyDescent="0.2">
      <c r="A52" s="5"/>
      <c r="B52" s="35" t="s">
        <v>31</v>
      </c>
      <c r="C52" s="35"/>
      <c r="D52" s="35"/>
      <c r="E52" s="35"/>
      <c r="F52" s="35"/>
      <c r="R52" s="160"/>
    </row>
    <row r="53" spans="1:24" s="14" customFormat="1" ht="15" thickBot="1" x14ac:dyDescent="0.25">
      <c r="A53" s="13"/>
      <c r="B53" s="14" t="s">
        <v>88</v>
      </c>
      <c r="R53" s="162"/>
    </row>
    <row r="54" spans="1:24" x14ac:dyDescent="0.2">
      <c r="R54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activeCell="A24" sqref="A24"/>
    </sheetView>
  </sheetViews>
  <sheetFormatPr defaultColWidth="8.7109375" defaultRowHeight="18" customHeight="1" x14ac:dyDescent="0.2"/>
  <cols>
    <col min="1" max="1" width="41.85546875" style="35" customWidth="1"/>
    <col min="2" max="2" width="19.5703125" style="35" customWidth="1"/>
    <col min="3" max="3" width="16.85546875" style="41" customWidth="1"/>
    <col min="4" max="4" width="19" style="41" customWidth="1"/>
    <col min="5" max="5" width="21.5703125" style="41" customWidth="1"/>
    <col min="6" max="6" width="130.7109375" style="41" bestFit="1" customWidth="1"/>
    <col min="7" max="7" width="22.85546875" style="41" customWidth="1"/>
    <col min="8" max="8" width="18.7109375" style="41" customWidth="1"/>
    <col min="9" max="9" width="14.42578125" style="41" customWidth="1"/>
    <col min="10" max="10" width="15.7109375" style="41" customWidth="1"/>
    <col min="11" max="16384" width="8.7109375" style="41"/>
  </cols>
  <sheetData>
    <row r="1" spans="1:20" s="35" customFormat="1" ht="18" customHeight="1" thickBot="1" x14ac:dyDescent="0.3">
      <c r="A1" s="224" t="s">
        <v>92</v>
      </c>
      <c r="B1" s="225" t="s">
        <v>33</v>
      </c>
      <c r="C1" s="54" t="s">
        <v>34</v>
      </c>
      <c r="D1" s="55" t="s">
        <v>50</v>
      </c>
      <c r="F1" s="39" t="s">
        <v>93</v>
      </c>
      <c r="G1" s="40"/>
    </row>
    <row r="2" spans="1:20" s="156" customFormat="1" ht="18" customHeight="1" x14ac:dyDescent="0.25">
      <c r="A2" s="226" t="s">
        <v>38</v>
      </c>
      <c r="B2" s="227"/>
      <c r="D2" s="228"/>
      <c r="E2" s="229"/>
      <c r="G2" s="230"/>
    </row>
    <row r="3" spans="1:20" s="35" customFormat="1" ht="18" customHeight="1" x14ac:dyDescent="0.2">
      <c r="A3" s="90" t="s">
        <v>95</v>
      </c>
      <c r="B3" s="93">
        <f>'1. Notes'!O40</f>
        <v>1103.7527593818984</v>
      </c>
      <c r="C3" s="38">
        <f>'1. Notes'!P40</f>
        <v>1048.2180293501049</v>
      </c>
      <c r="D3" s="57" t="s">
        <v>105</v>
      </c>
      <c r="F3" s="35" t="s">
        <v>94</v>
      </c>
    </row>
    <row r="4" spans="1:20" s="105" customFormat="1" ht="18" customHeight="1" thickBot="1" x14ac:dyDescent="0.25">
      <c r="A4" s="104"/>
      <c r="B4" s="231"/>
      <c r="C4" s="66"/>
      <c r="D4" s="232"/>
      <c r="E4" s="66"/>
      <c r="F4" s="66"/>
      <c r="G4" s="66"/>
      <c r="H4" s="14"/>
      <c r="I4" s="233"/>
      <c r="J4" s="233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s="237" customFormat="1" ht="18" customHeight="1" x14ac:dyDescent="0.25">
      <c r="A5" s="226" t="s">
        <v>20</v>
      </c>
      <c r="B5" s="234"/>
      <c r="C5" s="235"/>
      <c r="D5" s="236"/>
      <c r="H5" s="71"/>
      <c r="I5" s="71"/>
      <c r="J5" s="238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" customHeight="1" x14ac:dyDescent="0.25">
      <c r="A6" s="239" t="s">
        <v>43</v>
      </c>
      <c r="B6" s="240"/>
      <c r="C6" s="44"/>
      <c r="D6" s="5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8" customHeight="1" x14ac:dyDescent="0.2">
      <c r="A7" s="241" t="s">
        <v>19</v>
      </c>
      <c r="B7" s="240" t="s">
        <v>53</v>
      </c>
      <c r="C7" s="44">
        <v>0.01</v>
      </c>
      <c r="D7" s="58" t="s">
        <v>1</v>
      </c>
      <c r="F7" s="41" t="s">
        <v>118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8" customHeight="1" x14ac:dyDescent="0.2">
      <c r="A8" s="241" t="s">
        <v>18</v>
      </c>
      <c r="B8" s="240" t="s">
        <v>53</v>
      </c>
      <c r="C8" s="44">
        <v>5.4999999999999997E-3</v>
      </c>
      <c r="D8" s="58" t="s">
        <v>52</v>
      </c>
      <c r="F8" s="41" t="s">
        <v>96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8" customHeight="1" x14ac:dyDescent="0.2">
      <c r="A9" s="242"/>
      <c r="B9" s="240"/>
      <c r="C9" s="44"/>
      <c r="D9" s="5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" customHeight="1" x14ac:dyDescent="0.25">
      <c r="A10" s="239" t="s">
        <v>39</v>
      </c>
      <c r="B10" s="243"/>
      <c r="C10" s="44"/>
      <c r="D10" s="58"/>
      <c r="E10" s="4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8" customHeight="1" x14ac:dyDescent="0.2">
      <c r="A11" s="241" t="s">
        <v>17</v>
      </c>
      <c r="B11" s="244">
        <v>7.3999999999999996E-2</v>
      </c>
      <c r="C11" s="48">
        <v>7.3999999999999996E-2</v>
      </c>
      <c r="D11" s="58" t="s">
        <v>52</v>
      </c>
      <c r="E11" s="43"/>
      <c r="F11" s="41" t="s">
        <v>117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8" customHeight="1" x14ac:dyDescent="0.2">
      <c r="A12" s="241" t="s">
        <v>16</v>
      </c>
      <c r="B12" s="244">
        <v>1.9599999999999999E-2</v>
      </c>
      <c r="C12" s="48">
        <v>1.9599999999999999E-2</v>
      </c>
      <c r="D12" s="58" t="s">
        <v>52</v>
      </c>
      <c r="F12" s="41" t="s">
        <v>121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s="247" customFormat="1" ht="18" customHeight="1" thickBot="1" x14ac:dyDescent="0.25">
      <c r="A13" s="245"/>
      <c r="B13" s="246"/>
      <c r="C13" s="67"/>
      <c r="D13" s="68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237" customFormat="1" ht="18" customHeight="1" x14ac:dyDescent="0.25">
      <c r="A14" s="226" t="s">
        <v>97</v>
      </c>
      <c r="B14" s="234"/>
      <c r="C14" s="235"/>
      <c r="D14" s="236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" customHeight="1" x14ac:dyDescent="0.2">
      <c r="A15" s="241" t="s">
        <v>98</v>
      </c>
      <c r="B15" s="93">
        <v>1200</v>
      </c>
      <c r="C15" s="38">
        <v>1200</v>
      </c>
      <c r="D15" s="59" t="s">
        <v>99</v>
      </c>
      <c r="F15" s="46" t="s">
        <v>119</v>
      </c>
      <c r="H15" s="42"/>
    </row>
    <row r="16" spans="1:20" s="247" customFormat="1" ht="18" customHeight="1" thickBot="1" x14ac:dyDescent="0.3">
      <c r="A16" s="248"/>
      <c r="B16" s="249"/>
      <c r="D16" s="250"/>
      <c r="F16" s="251"/>
    </row>
    <row r="17" spans="1:7" s="237" customFormat="1" ht="18" customHeight="1" x14ac:dyDescent="0.25">
      <c r="A17" s="226" t="s">
        <v>40</v>
      </c>
      <c r="B17" s="234"/>
      <c r="C17" s="235"/>
      <c r="D17" s="236"/>
      <c r="E17" s="235"/>
      <c r="F17" s="252"/>
    </row>
    <row r="18" spans="1:7" s="44" customFormat="1" ht="18" customHeight="1" x14ac:dyDescent="0.25">
      <c r="A18" s="253" t="s">
        <v>100</v>
      </c>
      <c r="B18" s="254">
        <f>0.0117/1.17</f>
        <v>0.01</v>
      </c>
      <c r="C18" s="44" t="s">
        <v>53</v>
      </c>
      <c r="D18" s="61" t="s">
        <v>102</v>
      </c>
      <c r="E18" s="45"/>
      <c r="F18" s="46" t="s">
        <v>116</v>
      </c>
      <c r="G18" s="47"/>
    </row>
    <row r="19" spans="1:7" s="44" customFormat="1" ht="18" customHeight="1" x14ac:dyDescent="0.25">
      <c r="A19" s="253" t="s">
        <v>15</v>
      </c>
      <c r="B19" s="255">
        <f>0.345/1.17</f>
        <v>0.29487179487179488</v>
      </c>
      <c r="C19" s="62">
        <f>0.345/1.17</f>
        <v>0.29487179487179488</v>
      </c>
      <c r="D19" s="61" t="s">
        <v>101</v>
      </c>
      <c r="E19" s="45"/>
      <c r="F19" s="49"/>
    </row>
    <row r="20" spans="1:7" ht="18" customHeight="1" x14ac:dyDescent="0.2">
      <c r="A20" s="241" t="s">
        <v>103</v>
      </c>
      <c r="B20" s="256">
        <f>'1. Notes'!O38</f>
        <v>9.4</v>
      </c>
      <c r="C20" s="63">
        <f>'1. Notes'!P38</f>
        <v>4.5999999999999996</v>
      </c>
      <c r="D20" s="64" t="s">
        <v>51</v>
      </c>
      <c r="E20" s="47"/>
      <c r="F20" s="50" t="s">
        <v>115</v>
      </c>
      <c r="G20" s="42"/>
    </row>
    <row r="21" spans="1:7" ht="18" customHeight="1" x14ac:dyDescent="0.2">
      <c r="A21" s="241" t="s">
        <v>104</v>
      </c>
      <c r="B21" s="255">
        <f>B3-B20*B3/100</f>
        <v>1000</v>
      </c>
      <c r="C21" s="62">
        <f>C3-C20*C3/100</f>
        <v>1000</v>
      </c>
      <c r="D21" s="65" t="s">
        <v>105</v>
      </c>
      <c r="E21" s="47"/>
      <c r="F21" s="46" t="s">
        <v>106</v>
      </c>
    </row>
    <row r="22" spans="1:7" s="247" customFormat="1" ht="18" customHeight="1" thickBot="1" x14ac:dyDescent="0.25">
      <c r="A22" s="245"/>
      <c r="B22" s="249"/>
      <c r="D22" s="250"/>
    </row>
    <row r="23" spans="1:7" s="237" customFormat="1" ht="18" customHeight="1" x14ac:dyDescent="0.25">
      <c r="A23" s="226" t="s">
        <v>107</v>
      </c>
      <c r="B23" s="227"/>
      <c r="D23" s="257"/>
    </row>
    <row r="24" spans="1:7" ht="18" customHeight="1" x14ac:dyDescent="0.25">
      <c r="A24" s="239" t="s">
        <v>108</v>
      </c>
      <c r="B24" s="56"/>
      <c r="D24" s="60"/>
    </row>
    <row r="25" spans="1:7" ht="18" customHeight="1" x14ac:dyDescent="0.2">
      <c r="A25" s="90" t="s">
        <v>109</v>
      </c>
      <c r="B25" s="258" t="s">
        <v>53</v>
      </c>
      <c r="C25" s="44">
        <v>100</v>
      </c>
      <c r="D25" s="58" t="s">
        <v>51</v>
      </c>
      <c r="F25" s="41" t="s">
        <v>114</v>
      </c>
    </row>
    <row r="26" spans="1:7" ht="18" customHeight="1" x14ac:dyDescent="0.25">
      <c r="A26" s="239" t="s">
        <v>14</v>
      </c>
      <c r="B26" s="258"/>
      <c r="C26" s="44"/>
      <c r="D26" s="58"/>
    </row>
    <row r="27" spans="1:7" ht="18" customHeight="1" x14ac:dyDescent="0.2">
      <c r="A27" s="90" t="s">
        <v>110</v>
      </c>
      <c r="B27" s="258">
        <v>95</v>
      </c>
      <c r="C27" s="44">
        <v>95</v>
      </c>
      <c r="D27" s="58" t="s">
        <v>51</v>
      </c>
      <c r="F27" s="41" t="s">
        <v>113</v>
      </c>
    </row>
    <row r="28" spans="1:7" ht="18" customHeight="1" x14ac:dyDescent="0.2">
      <c r="A28" s="90" t="s">
        <v>111</v>
      </c>
      <c r="B28" s="258">
        <v>3</v>
      </c>
      <c r="C28" s="44">
        <v>3</v>
      </c>
      <c r="D28" s="58" t="s">
        <v>51</v>
      </c>
      <c r="F28" s="41" t="s">
        <v>113</v>
      </c>
    </row>
    <row r="29" spans="1:7" ht="18" customHeight="1" x14ac:dyDescent="0.2">
      <c r="A29" s="90" t="s">
        <v>112</v>
      </c>
      <c r="B29" s="258">
        <v>2</v>
      </c>
      <c r="C29" s="44">
        <v>2</v>
      </c>
      <c r="D29" s="58" t="s">
        <v>51</v>
      </c>
      <c r="F29" s="41" t="s">
        <v>113</v>
      </c>
    </row>
    <row r="30" spans="1:7" s="247" customFormat="1" ht="18" customHeight="1" thickBot="1" x14ac:dyDescent="0.25">
      <c r="A30" s="104"/>
      <c r="B30" s="32"/>
      <c r="D30" s="6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4"/>
  <sheetViews>
    <sheetView topLeftCell="B1" zoomScaleNormal="100" workbookViewId="0">
      <pane xSplit="1" topLeftCell="C1" activePane="topRight" state="frozen"/>
      <selection activeCell="B1" sqref="B1"/>
      <selection pane="topRight" activeCell="C4" sqref="C4:C15"/>
    </sheetView>
  </sheetViews>
  <sheetFormatPr defaultColWidth="8.7109375" defaultRowHeight="14.25" x14ac:dyDescent="0.2"/>
  <cols>
    <col min="1" max="1" width="0" style="1" hidden="1" customWidth="1"/>
    <col min="2" max="2" width="29.5703125" style="1" customWidth="1"/>
    <col min="3" max="3" width="55" style="1" customWidth="1"/>
    <col min="4" max="4" width="12" style="1" customWidth="1"/>
    <col min="5" max="6" width="15.85546875" style="1" customWidth="1"/>
    <col min="7" max="7" width="20.85546875" style="1" customWidth="1"/>
    <col min="8" max="8" width="21.28515625" style="1" customWidth="1"/>
    <col min="9" max="9" width="16.42578125" style="1" customWidth="1"/>
    <col min="10" max="10" width="13.85546875" style="1" customWidth="1"/>
    <col min="11" max="11" width="13.5703125" style="1" customWidth="1"/>
    <col min="12" max="12" width="20.140625" style="31" customWidth="1"/>
    <col min="13" max="13" width="18.28515625" style="31" customWidth="1"/>
    <col min="14" max="14" width="16" style="35" customWidth="1"/>
    <col min="15" max="15" width="8.7109375" style="35" customWidth="1"/>
    <col min="16" max="16" width="41" style="35" bestFit="1" customWidth="1"/>
    <col min="17" max="18" width="8.7109375" style="35" customWidth="1"/>
    <col min="19" max="19" width="12.85546875" style="35" bestFit="1" customWidth="1"/>
    <col min="20" max="20" width="8.7109375" style="35" customWidth="1"/>
    <col min="21" max="21" width="10.5703125" style="35" customWidth="1"/>
    <col min="22" max="22" width="15.5703125" style="35" bestFit="1" customWidth="1"/>
    <col min="23" max="27" width="8.7109375" style="35" customWidth="1"/>
    <col min="28" max="28" width="34" style="35" bestFit="1" customWidth="1"/>
    <col min="29" max="29" width="12.5703125" style="35" bestFit="1" customWidth="1"/>
    <col min="30" max="39" width="8.7109375" style="35" customWidth="1"/>
    <col min="40" max="68" width="8.7109375" style="1" customWidth="1"/>
    <col min="69" max="69" width="12" style="1" bestFit="1" customWidth="1"/>
    <col min="70" max="70" width="11" style="1" bestFit="1" customWidth="1"/>
    <col min="71" max="16384" width="8.7109375" style="1"/>
  </cols>
  <sheetData>
    <row r="1" spans="1:70" ht="21.6" customHeight="1" thickBot="1" x14ac:dyDescent="0.3">
      <c r="E1" s="72" t="s">
        <v>33</v>
      </c>
      <c r="F1" s="73" t="s">
        <v>34</v>
      </c>
      <c r="G1" s="74" t="s">
        <v>35</v>
      </c>
      <c r="H1" s="72" t="s">
        <v>33</v>
      </c>
      <c r="I1" s="73" t="s">
        <v>34</v>
      </c>
      <c r="J1" s="264" t="s">
        <v>124</v>
      </c>
      <c r="K1" s="265"/>
      <c r="L1" s="1"/>
      <c r="M1" s="171" t="s">
        <v>137</v>
      </c>
      <c r="P1" s="269"/>
      <c r="Q1" s="269"/>
    </row>
    <row r="2" spans="1:70" s="75" customFormat="1" ht="131.1" customHeight="1" thickBot="1" x14ac:dyDescent="0.3">
      <c r="B2" s="129" t="s">
        <v>126</v>
      </c>
      <c r="C2" s="129" t="s">
        <v>125</v>
      </c>
      <c r="D2" s="168" t="s">
        <v>27</v>
      </c>
      <c r="E2" s="76" t="s">
        <v>122</v>
      </c>
      <c r="F2" s="77" t="s">
        <v>122</v>
      </c>
      <c r="G2" s="78" t="s">
        <v>149</v>
      </c>
      <c r="H2" s="79" t="s">
        <v>26</v>
      </c>
      <c r="I2" s="130" t="s">
        <v>26</v>
      </c>
      <c r="J2" s="79" t="s">
        <v>36</v>
      </c>
      <c r="K2" s="80" t="s">
        <v>37</v>
      </c>
      <c r="L2" s="170" t="s">
        <v>123</v>
      </c>
      <c r="M2" s="170" t="s">
        <v>140</v>
      </c>
      <c r="N2" s="35"/>
      <c r="O2" s="172"/>
      <c r="P2" s="173"/>
      <c r="Q2" s="173"/>
      <c r="R2" s="35"/>
      <c r="S2" s="173"/>
      <c r="T2" s="173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74"/>
      <c r="BP2" s="174"/>
    </row>
    <row r="3" spans="1:70" s="75" customFormat="1" ht="15.75" hidden="1" thickBot="1" x14ac:dyDescent="0.3">
      <c r="A3" s="81" t="s">
        <v>48</v>
      </c>
      <c r="B3" s="82" t="s">
        <v>46</v>
      </c>
      <c r="C3" s="82"/>
      <c r="D3" s="83" t="s">
        <v>0</v>
      </c>
      <c r="E3" s="84">
        <v>1000</v>
      </c>
      <c r="F3" s="85">
        <v>1000</v>
      </c>
      <c r="G3" s="86"/>
      <c r="H3" s="87"/>
      <c r="I3" s="88"/>
      <c r="J3" s="132"/>
      <c r="K3" s="89"/>
      <c r="L3" s="90"/>
      <c r="M3" s="90"/>
      <c r="N3" s="35"/>
      <c r="O3" s="172"/>
      <c r="P3" s="173"/>
      <c r="Q3" s="173"/>
      <c r="R3" s="35"/>
      <c r="S3" s="173"/>
      <c r="T3" s="173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74"/>
      <c r="BP3" s="174"/>
    </row>
    <row r="4" spans="1:70" ht="19.5" customHeight="1" thickBot="1" x14ac:dyDescent="0.3">
      <c r="A4" s="91" t="s">
        <v>47</v>
      </c>
      <c r="B4" s="135" t="s">
        <v>38</v>
      </c>
      <c r="C4" s="29" t="s">
        <v>45</v>
      </c>
      <c r="D4" s="164" t="s">
        <v>0</v>
      </c>
      <c r="E4" s="136">
        <f>'2. Data'!B3</f>
        <v>1103.7527593818984</v>
      </c>
      <c r="F4" s="137">
        <f>'2. Data'!C3</f>
        <v>1048.2180293501049</v>
      </c>
      <c r="G4" s="138">
        <v>2.13</v>
      </c>
      <c r="H4" s="139">
        <f t="shared" ref="H4:H15" si="0">IF(ISNUMBER(E4),G4*E4, "NA")</f>
        <v>2350.9933774834435</v>
      </c>
      <c r="I4" s="140">
        <f t="shared" ref="I4:I15" si="1">IF(ISNUMBER(F4), F4*G4, "NA")</f>
        <v>2232.7044025157234</v>
      </c>
      <c r="J4" s="141">
        <f t="shared" ref="J4:J15" si="2">IF(ISNUMBER(E4),H4/$H$16,"NA")</f>
        <v>0.75159634830033362</v>
      </c>
      <c r="K4" s="142">
        <f t="shared" ref="K4:K15" si="3">IF(ISNUMBER(F4),I4/$I$16,"NA")</f>
        <v>0.74349130952904541</v>
      </c>
      <c r="L4" s="143"/>
      <c r="M4" s="175">
        <f>I4-H4</f>
        <v>-118.28897496772015</v>
      </c>
      <c r="P4" s="176"/>
      <c r="Q4" s="176"/>
      <c r="S4" s="177"/>
      <c r="T4" s="177"/>
      <c r="BO4" s="178"/>
      <c r="BQ4" s="178"/>
    </row>
    <row r="5" spans="1:70" ht="19.5" customHeight="1" x14ac:dyDescent="0.2">
      <c r="A5" s="91" t="s">
        <v>47</v>
      </c>
      <c r="B5" s="261" t="s">
        <v>39</v>
      </c>
      <c r="C5" s="69" t="s">
        <v>12</v>
      </c>
      <c r="D5" s="165" t="s">
        <v>0</v>
      </c>
      <c r="E5" s="144">
        <f>'2. Data'!B11*E4</f>
        <v>81.677704194260471</v>
      </c>
      <c r="F5" s="145">
        <f>'2. Data'!C11*F4</f>
        <v>77.568134171907758</v>
      </c>
      <c r="G5" s="146">
        <v>0.89504950000000005</v>
      </c>
      <c r="H5" s="147">
        <f t="shared" si="0"/>
        <v>73.105588300220745</v>
      </c>
      <c r="I5" s="148">
        <f t="shared" si="1"/>
        <v>69.427319706498963</v>
      </c>
      <c r="J5" s="149">
        <f t="shared" si="2"/>
        <v>2.3371351758382591E-2</v>
      </c>
      <c r="K5" s="150">
        <f t="shared" si="3"/>
        <v>2.3119320581584737E-2</v>
      </c>
      <c r="L5" s="98"/>
      <c r="M5" s="179">
        <f>I5-H5</f>
        <v>-3.6782685937217821</v>
      </c>
      <c r="P5" s="176"/>
      <c r="Q5" s="180"/>
      <c r="S5" s="177"/>
      <c r="T5" s="177"/>
      <c r="Y5" s="181"/>
      <c r="BO5" s="178"/>
      <c r="BQ5" s="178"/>
    </row>
    <row r="6" spans="1:70" ht="19.5" customHeight="1" thickBot="1" x14ac:dyDescent="0.25">
      <c r="A6" s="91" t="s">
        <v>47</v>
      </c>
      <c r="B6" s="263"/>
      <c r="C6" s="151" t="s">
        <v>10</v>
      </c>
      <c r="D6" s="166" t="s">
        <v>13</v>
      </c>
      <c r="E6" s="152">
        <f>'2. Data'!B12*E4/25</f>
        <v>0.86534216335540837</v>
      </c>
      <c r="F6" s="107">
        <f>'2. Data'!C12*F4/25</f>
        <v>0.82180293501048229</v>
      </c>
      <c r="G6" s="108">
        <v>7.0965090000000002</v>
      </c>
      <c r="H6" s="109">
        <f t="shared" si="0"/>
        <v>6.1409084503311258</v>
      </c>
      <c r="I6" s="110">
        <f t="shared" si="1"/>
        <v>5.8319319245283028</v>
      </c>
      <c r="J6" s="134">
        <f t="shared" si="2"/>
        <v>1.9632060263206925E-3</v>
      </c>
      <c r="K6" s="111">
        <f t="shared" si="3"/>
        <v>1.9420352729031978E-3</v>
      </c>
      <c r="L6" s="153"/>
      <c r="M6" s="182">
        <f>I6-H6</f>
        <v>-0.30897652580282298</v>
      </c>
      <c r="P6" s="176"/>
      <c r="Q6" s="176"/>
      <c r="S6" s="177"/>
      <c r="T6" s="177"/>
      <c r="BO6" s="178"/>
      <c r="BQ6" s="178"/>
    </row>
    <row r="7" spans="1:70" ht="19.5" customHeight="1" x14ac:dyDescent="0.2">
      <c r="A7" s="91"/>
      <c r="B7" s="261" t="s">
        <v>40</v>
      </c>
      <c r="C7" s="69" t="s">
        <v>4</v>
      </c>
      <c r="D7" s="165" t="s">
        <v>1</v>
      </c>
      <c r="E7" s="144">
        <f>'2. Data'!B19*E4</f>
        <v>325.46555725363669</v>
      </c>
      <c r="F7" s="145">
        <f>'2. Data'!C19*F4</f>
        <v>309.0899317314412</v>
      </c>
      <c r="G7" s="146">
        <v>0.10590513999999999</v>
      </c>
      <c r="H7" s="147">
        <f t="shared" si="0"/>
        <v>34.468475406124405</v>
      </c>
      <c r="I7" s="148">
        <f t="shared" si="1"/>
        <v>32.734212492608719</v>
      </c>
      <c r="J7" s="149">
        <f t="shared" si="2"/>
        <v>1.1019333569732866E-2</v>
      </c>
      <c r="K7" s="150">
        <f t="shared" si="3"/>
        <v>1.0900503660542364E-2</v>
      </c>
      <c r="L7" s="98"/>
      <c r="M7" s="179">
        <f>I7-H7</f>
        <v>-1.7342629135156855</v>
      </c>
      <c r="P7" s="176"/>
      <c r="Q7" s="176"/>
      <c r="S7" s="177"/>
      <c r="T7" s="177"/>
      <c r="BO7" s="178"/>
      <c r="BQ7" s="178"/>
    </row>
    <row r="8" spans="1:70" ht="19.5" customHeight="1" thickBot="1" x14ac:dyDescent="0.25">
      <c r="A8" s="91"/>
      <c r="B8" s="263"/>
      <c r="C8" s="104" t="s">
        <v>9</v>
      </c>
      <c r="D8" s="66" t="s">
        <v>0</v>
      </c>
      <c r="E8" s="152">
        <f>'2. Data'!B18*E4</f>
        <v>11.037527593818984</v>
      </c>
      <c r="F8" s="154" t="s">
        <v>53</v>
      </c>
      <c r="G8" s="108">
        <v>1.1072583E-4</v>
      </c>
      <c r="H8" s="109">
        <f t="shared" si="0"/>
        <v>1.2221394039735099E-3</v>
      </c>
      <c r="I8" s="110" t="str">
        <f t="shared" si="1"/>
        <v>NA</v>
      </c>
      <c r="J8" s="134">
        <f t="shared" si="2"/>
        <v>3.9070952812452365E-7</v>
      </c>
      <c r="K8" s="111" t="str">
        <f t="shared" si="3"/>
        <v>NA</v>
      </c>
      <c r="L8" s="153"/>
      <c r="M8" s="182">
        <f>0-H8</f>
        <v>-1.2221394039735099E-3</v>
      </c>
      <c r="P8" s="176"/>
      <c r="Q8" s="176"/>
      <c r="S8" s="177"/>
      <c r="T8" s="177"/>
      <c r="Y8" s="181"/>
      <c r="BO8" s="178"/>
      <c r="BQ8" s="178"/>
    </row>
    <row r="9" spans="1:70" ht="19.5" customHeight="1" thickBot="1" x14ac:dyDescent="0.3">
      <c r="A9" s="100"/>
      <c r="B9" s="92" t="s">
        <v>41</v>
      </c>
      <c r="C9" s="90" t="s">
        <v>5</v>
      </c>
      <c r="D9" s="36" t="s">
        <v>2</v>
      </c>
      <c r="E9" s="93">
        <f>(E4+E5+E6)*1200/1000</f>
        <v>1423.5549668874171</v>
      </c>
      <c r="F9" s="59">
        <f>(F4+F5+F6+F13)*1200/1000</f>
        <v>1358.8477987421384</v>
      </c>
      <c r="G9" s="94">
        <v>0.46198721999999998</v>
      </c>
      <c r="H9" s="95">
        <f t="shared" si="0"/>
        <v>657.66420166950979</v>
      </c>
      <c r="I9" s="96">
        <f t="shared" si="1"/>
        <v>627.770316944</v>
      </c>
      <c r="J9" s="133">
        <f t="shared" si="2"/>
        <v>0.21025070385853895</v>
      </c>
      <c r="K9" s="97">
        <f t="shared" si="3"/>
        <v>0.20904772459007659</v>
      </c>
      <c r="L9" s="101">
        <f>(J9-K9)</f>
        <v>1.2029792684623564E-3</v>
      </c>
      <c r="M9" s="175">
        <f>I9-H9</f>
        <v>-29.893884725509793</v>
      </c>
      <c r="P9" s="180"/>
      <c r="Q9" s="180"/>
      <c r="S9" s="177"/>
      <c r="T9" s="177"/>
      <c r="BO9" s="178"/>
      <c r="BQ9" s="178"/>
    </row>
    <row r="10" spans="1:70" ht="19.5" customHeight="1" x14ac:dyDescent="0.25">
      <c r="A10" s="91" t="s">
        <v>48</v>
      </c>
      <c r="B10" s="261" t="s">
        <v>42</v>
      </c>
      <c r="C10" s="155" t="s">
        <v>8</v>
      </c>
      <c r="D10" s="167" t="s">
        <v>0</v>
      </c>
      <c r="E10" s="144">
        <f>'2. Data'!B27/100*E4*'2. Data'!B20/100</f>
        <v>98.565121412803535</v>
      </c>
      <c r="F10" s="145">
        <f>'2. Data'!C27/100*F4*'2. Data'!C20/100</f>
        <v>45.80712788259958</v>
      </c>
      <c r="G10" s="146">
        <v>5.0270044E-2</v>
      </c>
      <c r="H10" s="147">
        <f t="shared" si="0"/>
        <v>4.9548729902869759</v>
      </c>
      <c r="I10" s="148">
        <f t="shared" si="1"/>
        <v>2.3027263341719078</v>
      </c>
      <c r="J10" s="149">
        <f t="shared" si="2"/>
        <v>1.5840386797592635E-3</v>
      </c>
      <c r="K10" s="150">
        <f t="shared" si="3"/>
        <v>7.6680863608788138E-4</v>
      </c>
      <c r="L10" s="98"/>
      <c r="M10" s="179">
        <f>I10-H10</f>
        <v>-2.6521466561150682</v>
      </c>
      <c r="P10" s="176"/>
      <c r="Q10" s="180"/>
      <c r="S10" s="177"/>
      <c r="T10" s="177"/>
      <c r="X10" s="172"/>
      <c r="Y10" s="37"/>
      <c r="BO10" s="178"/>
      <c r="BQ10" s="178"/>
    </row>
    <row r="11" spans="1:70" ht="19.5" customHeight="1" x14ac:dyDescent="0.25">
      <c r="A11" s="91" t="s">
        <v>48</v>
      </c>
      <c r="B11" s="262"/>
      <c r="C11" s="90" t="s">
        <v>7</v>
      </c>
      <c r="D11" s="36" t="s">
        <v>0</v>
      </c>
      <c r="E11" s="93">
        <f>'2. Data'!B28/100*E4*'2. Data'!B20/100</f>
        <v>3.1125827814569531</v>
      </c>
      <c r="F11" s="59">
        <f>'2. Data'!C28/100*F4*'2. Data'!C20/100</f>
        <v>1.4465408805031448</v>
      </c>
      <c r="G11" s="94">
        <v>3.2005566999999999E-2</v>
      </c>
      <c r="H11" s="95">
        <f t="shared" si="0"/>
        <v>9.9619976754966866E-2</v>
      </c>
      <c r="I11" s="96">
        <f t="shared" si="1"/>
        <v>4.6297361069182391E-2</v>
      </c>
      <c r="J11" s="133">
        <f t="shared" si="2"/>
        <v>3.1847818655679944E-5</v>
      </c>
      <c r="K11" s="97">
        <f t="shared" si="3"/>
        <v>1.541703665307439E-5</v>
      </c>
      <c r="L11" s="99"/>
      <c r="M11" s="183">
        <f>I11-H11</f>
        <v>-5.3322615685784475E-2</v>
      </c>
      <c r="P11" s="259"/>
      <c r="Q11" s="259"/>
      <c r="S11" s="184"/>
      <c r="T11" s="184"/>
      <c r="V11" s="185"/>
      <c r="BO11" s="178"/>
      <c r="BQ11" s="178"/>
    </row>
    <row r="12" spans="1:70" ht="19.5" customHeight="1" thickBot="1" x14ac:dyDescent="0.3">
      <c r="A12" s="91" t="s">
        <v>48</v>
      </c>
      <c r="B12" s="263"/>
      <c r="C12" s="104" t="s">
        <v>11</v>
      </c>
      <c r="D12" s="66" t="s">
        <v>0</v>
      </c>
      <c r="E12" s="152">
        <f>'2. Data'!B29/100*E4*'2. Data'!B20/100</f>
        <v>2.075055187637969</v>
      </c>
      <c r="F12" s="107">
        <f>'2. Data'!C29/100*F4*'2. Data'!C20/100</f>
        <v>0.96436058700209637</v>
      </c>
      <c r="G12" s="108">
        <v>0.63666149999999999</v>
      </c>
      <c r="H12" s="109">
        <f t="shared" si="0"/>
        <v>1.3211077483443707</v>
      </c>
      <c r="I12" s="110">
        <f t="shared" si="1"/>
        <v>0.6139712578616352</v>
      </c>
      <c r="J12" s="134">
        <f t="shared" si="2"/>
        <v>4.2234902440676814E-4</v>
      </c>
      <c r="K12" s="111">
        <f t="shared" si="3"/>
        <v>2.0445263332055785E-4</v>
      </c>
      <c r="L12" s="153"/>
      <c r="M12" s="182">
        <f>I12-H12</f>
        <v>-0.70713649048273552</v>
      </c>
      <c r="W12" s="37"/>
      <c r="BO12" s="178"/>
      <c r="BQ12" s="178"/>
    </row>
    <row r="13" spans="1:70" ht="19.5" customHeight="1" x14ac:dyDescent="0.25">
      <c r="A13" s="91" t="s">
        <v>47</v>
      </c>
      <c r="B13" s="261" t="s">
        <v>43</v>
      </c>
      <c r="C13" s="155" t="s">
        <v>6</v>
      </c>
      <c r="D13" s="167" t="s">
        <v>0</v>
      </c>
      <c r="E13" s="157" t="s">
        <v>53</v>
      </c>
      <c r="F13" s="145">
        <f>'2. Data'!C8*F4</f>
        <v>5.7651991614255769</v>
      </c>
      <c r="G13" s="146">
        <v>2.9661414000000002</v>
      </c>
      <c r="H13" s="147" t="str">
        <f t="shared" si="0"/>
        <v>NA</v>
      </c>
      <c r="I13" s="148">
        <f t="shared" si="1"/>
        <v>17.100395911949686</v>
      </c>
      <c r="J13" s="149" t="str">
        <f t="shared" si="2"/>
        <v>NA</v>
      </c>
      <c r="K13" s="150">
        <f t="shared" si="3"/>
        <v>5.6944375331167783E-3</v>
      </c>
      <c r="L13" s="158">
        <f>K13</f>
        <v>5.6944375331167783E-3</v>
      </c>
      <c r="M13" s="179">
        <f>I13-0</f>
        <v>17.100395911949686</v>
      </c>
      <c r="Q13" s="186"/>
      <c r="W13" s="37"/>
      <c r="BP13" s="178"/>
      <c r="BR13" s="178"/>
    </row>
    <row r="14" spans="1:70" ht="19.5" customHeight="1" thickBot="1" x14ac:dyDescent="0.25">
      <c r="A14" s="91" t="s">
        <v>47</v>
      </c>
      <c r="B14" s="263"/>
      <c r="C14" s="104" t="s">
        <v>4</v>
      </c>
      <c r="D14" s="66" t="s">
        <v>1</v>
      </c>
      <c r="E14" s="106" t="s">
        <v>53</v>
      </c>
      <c r="F14" s="107">
        <f>'2. Data'!C7*F4</f>
        <v>10.482180293501049</v>
      </c>
      <c r="G14" s="108">
        <v>0.10590513999999999</v>
      </c>
      <c r="H14" s="109" t="str">
        <f t="shared" si="0"/>
        <v>NA</v>
      </c>
      <c r="I14" s="110">
        <f t="shared" si="1"/>
        <v>1.1101167714884697</v>
      </c>
      <c r="J14" s="134" t="str">
        <f t="shared" si="2"/>
        <v>NA</v>
      </c>
      <c r="K14" s="111">
        <f t="shared" si="3"/>
        <v>3.6966925457491496E-4</v>
      </c>
      <c r="L14" s="112">
        <f>K14</f>
        <v>3.6966925457491496E-4</v>
      </c>
      <c r="M14" s="182">
        <f>I14-0</f>
        <v>1.1101167714884697</v>
      </c>
      <c r="BP14" s="178"/>
      <c r="BR14" s="178"/>
    </row>
    <row r="15" spans="1:70" s="6" customFormat="1" ht="19.5" customHeight="1" thickBot="1" x14ac:dyDescent="0.3">
      <c r="A15" s="102" t="s">
        <v>48</v>
      </c>
      <c r="B15" s="103" t="s">
        <v>44</v>
      </c>
      <c r="C15" s="104" t="s">
        <v>3</v>
      </c>
      <c r="D15" s="66" t="s">
        <v>0</v>
      </c>
      <c r="E15" s="106" t="s">
        <v>53</v>
      </c>
      <c r="F15" s="107">
        <f>F13</f>
        <v>5.7651991614255769</v>
      </c>
      <c r="G15" s="108">
        <v>2.3498171000000001</v>
      </c>
      <c r="H15" s="109" t="str">
        <f t="shared" si="0"/>
        <v>NA</v>
      </c>
      <c r="I15" s="110">
        <f t="shared" si="1"/>
        <v>13.547163574423481</v>
      </c>
      <c r="J15" s="134" t="str">
        <f t="shared" si="2"/>
        <v>NA</v>
      </c>
      <c r="K15" s="111">
        <f t="shared" si="3"/>
        <v>4.5112099814930001E-3</v>
      </c>
      <c r="L15" s="112">
        <f>K15</f>
        <v>4.5112099814930001E-3</v>
      </c>
      <c r="M15" s="182">
        <f>I15-0</f>
        <v>13.547163574423481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BP15" s="187"/>
      <c r="BR15" s="187"/>
    </row>
    <row r="16" spans="1:70" ht="19.5" customHeight="1" thickBot="1" x14ac:dyDescent="0.3">
      <c r="B16" s="163" t="s">
        <v>127</v>
      </c>
      <c r="C16" s="113"/>
      <c r="D16" s="113"/>
      <c r="E16" s="114"/>
      <c r="F16" s="114"/>
      <c r="G16" s="115"/>
      <c r="H16" s="116">
        <f>ROUNDDOWN(SUM(H4:H15),0)</f>
        <v>3128</v>
      </c>
      <c r="I16" s="131">
        <f>ROUNDDOWN(SUM(I4:I15),0)</f>
        <v>3003</v>
      </c>
      <c r="J16" s="118">
        <f t="shared" ref="J16:K16" si="4">ROUNDDOWN(SUM(J4:J15),0)</f>
        <v>1</v>
      </c>
      <c r="K16" s="117">
        <f t="shared" si="4"/>
        <v>1</v>
      </c>
      <c r="L16" s="260">
        <f>SUM(L13:L15,L9)</f>
        <v>1.1778296037647049E-2</v>
      </c>
      <c r="M16" s="118">
        <f>ROUNDDOWN(SUM(M4:M15,0),0)</f>
        <v>-125</v>
      </c>
      <c r="S16" s="173"/>
      <c r="T16" s="173"/>
      <c r="W16" s="37"/>
      <c r="BN16" s="178"/>
      <c r="BO16" s="178"/>
      <c r="BP16" s="178"/>
      <c r="BQ16" s="178"/>
    </row>
    <row r="17" spans="3:27" ht="15.75" thickBot="1" x14ac:dyDescent="0.3">
      <c r="E17" s="35"/>
      <c r="F17" s="35"/>
      <c r="G17" s="35"/>
      <c r="H17" s="35"/>
      <c r="I17" s="126"/>
      <c r="J17" s="188"/>
      <c r="K17" s="35"/>
      <c r="M17" s="189"/>
      <c r="P17" s="190"/>
      <c r="W17" s="185"/>
      <c r="X17" s="185"/>
      <c r="Y17" s="185"/>
      <c r="AA17" s="37"/>
    </row>
    <row r="18" spans="3:27" ht="14.45" customHeight="1" thickBot="1" x14ac:dyDescent="0.25">
      <c r="E18" s="191"/>
      <c r="F18" s="266" t="s">
        <v>136</v>
      </c>
      <c r="G18" s="127" t="s">
        <v>128</v>
      </c>
      <c r="H18" s="118">
        <f>H16-I16</f>
        <v>125</v>
      </c>
      <c r="I18" s="120" t="s">
        <v>129</v>
      </c>
      <c r="J18" s="121"/>
      <c r="K18" s="35"/>
      <c r="L18" s="208" t="s">
        <v>150</v>
      </c>
      <c r="M18" s="191"/>
      <c r="X18" s="185"/>
      <c r="Y18" s="185"/>
    </row>
    <row r="19" spans="3:27" ht="45.75" thickBot="1" x14ac:dyDescent="0.25">
      <c r="E19" s="191"/>
      <c r="F19" s="267"/>
      <c r="G19" s="128" t="s">
        <v>130</v>
      </c>
      <c r="H19" s="118">
        <f>ROUND(H18,0)*3408</f>
        <v>426000</v>
      </c>
      <c r="I19" s="120" t="s">
        <v>131</v>
      </c>
      <c r="J19" s="35"/>
      <c r="K19" s="35"/>
      <c r="L19" s="192" t="s">
        <v>138</v>
      </c>
      <c r="M19" s="193">
        <f>SUM(M13:M15)</f>
        <v>31.75767625786164</v>
      </c>
      <c r="N19" s="215">
        <v>1</v>
      </c>
    </row>
    <row r="20" spans="3:27" ht="45.75" thickBot="1" x14ac:dyDescent="0.25">
      <c r="E20" s="191"/>
      <c r="F20" s="267"/>
      <c r="G20" s="128" t="s">
        <v>132</v>
      </c>
      <c r="H20" s="123">
        <f>H19*150/1000</f>
        <v>63900</v>
      </c>
      <c r="I20" s="124" t="s">
        <v>135</v>
      </c>
      <c r="J20" s="35"/>
      <c r="K20" s="35"/>
      <c r="L20" s="194" t="s">
        <v>139</v>
      </c>
      <c r="M20" s="195">
        <f>SUM(M4:M12)</f>
        <v>-157.31819562795778</v>
      </c>
      <c r="N20" s="216">
        <f>ROUND(M20,1)/ROUND(M19,1)</f>
        <v>-4.9465408805031448</v>
      </c>
      <c r="Y20" s="185"/>
    </row>
    <row r="21" spans="3:27" ht="72" thickBot="1" x14ac:dyDescent="0.25">
      <c r="E21" s="191"/>
      <c r="F21" s="268"/>
      <c r="G21" s="128" t="s">
        <v>133</v>
      </c>
      <c r="H21" s="125">
        <f>H19/4.35/1000</f>
        <v>97.931034482758619</v>
      </c>
      <c r="I21" s="126" t="s">
        <v>134</v>
      </c>
      <c r="J21" s="35"/>
      <c r="K21" s="35"/>
      <c r="L21" s="191"/>
      <c r="M21" s="191"/>
    </row>
    <row r="22" spans="3:27" ht="46.5" customHeight="1" x14ac:dyDescent="0.2">
      <c r="E22" s="191"/>
      <c r="F22" s="191"/>
      <c r="G22" s="119"/>
      <c r="H22" s="196"/>
      <c r="I22" s="197"/>
      <c r="J22" s="35"/>
      <c r="K22" s="35"/>
      <c r="L22" s="169" t="s">
        <v>141</v>
      </c>
      <c r="M22" s="217">
        <f>(H16/E4)*0.35</f>
        <v>0.9918887999999999</v>
      </c>
      <c r="N22" s="219" t="s">
        <v>142</v>
      </c>
    </row>
    <row r="23" spans="3:27" ht="45.75" thickBot="1" x14ac:dyDescent="0.25">
      <c r="E23" s="191"/>
      <c r="F23" s="191"/>
      <c r="G23" s="119"/>
      <c r="H23" s="196"/>
      <c r="I23" s="197"/>
      <c r="J23" s="35"/>
      <c r="K23" s="35"/>
      <c r="L23" s="210" t="s">
        <v>147</v>
      </c>
      <c r="M23" s="218">
        <f>((I13+I14+I15)/F4)*0.35</f>
        <v>1.06038881025E-2</v>
      </c>
      <c r="N23" s="220" t="s">
        <v>143</v>
      </c>
    </row>
    <row r="24" spans="3:27" ht="15" thickBot="1" x14ac:dyDescent="0.25">
      <c r="E24" s="191"/>
      <c r="F24" s="191"/>
      <c r="G24" s="122"/>
      <c r="H24" s="196"/>
      <c r="I24" s="124"/>
      <c r="J24" s="35"/>
      <c r="K24" s="35"/>
      <c r="L24" s="191"/>
      <c r="M24" s="191"/>
    </row>
    <row r="25" spans="3:27" ht="15.75" thickBot="1" x14ac:dyDescent="0.3">
      <c r="E25" s="6"/>
      <c r="F25" s="6"/>
      <c r="G25" s="6"/>
      <c r="H25" s="6"/>
      <c r="I25" s="6"/>
      <c r="J25" s="6"/>
      <c r="L25" s="214" t="s">
        <v>144</v>
      </c>
      <c r="M25" s="211">
        <f>M22/M23</f>
        <v>93.540104385498907</v>
      </c>
      <c r="N25" s="212" t="s">
        <v>145</v>
      </c>
      <c r="O25" s="213"/>
    </row>
    <row r="26" spans="3:27" ht="16.5" x14ac:dyDescent="0.2">
      <c r="E26" s="198"/>
      <c r="F26" s="198"/>
      <c r="G26" s="6"/>
      <c r="H26" s="6"/>
      <c r="I26" s="6"/>
      <c r="J26" s="6"/>
      <c r="L26" s="199"/>
      <c r="M26" s="209" t="s">
        <v>146</v>
      </c>
    </row>
    <row r="27" spans="3:27" x14ac:dyDescent="0.2">
      <c r="C27" s="31"/>
      <c r="E27" s="6"/>
      <c r="F27" s="6"/>
      <c r="G27" s="6"/>
      <c r="H27" s="6"/>
      <c r="I27" s="6"/>
      <c r="J27" s="6"/>
    </row>
    <row r="28" spans="3:27" x14ac:dyDescent="0.2">
      <c r="E28" s="6"/>
      <c r="F28" s="6"/>
      <c r="G28" s="35"/>
      <c r="H28" s="6"/>
      <c r="I28" s="6"/>
      <c r="J28" s="6"/>
    </row>
    <row r="29" spans="3:27" x14ac:dyDescent="0.2">
      <c r="C29" s="200"/>
      <c r="E29" s="6"/>
      <c r="F29" s="6"/>
      <c r="G29" s="6"/>
      <c r="H29" s="6"/>
      <c r="I29" s="6"/>
      <c r="J29" s="6"/>
    </row>
    <row r="30" spans="3:27" x14ac:dyDescent="0.2">
      <c r="C30" s="200"/>
      <c r="E30" s="6"/>
      <c r="F30" s="6"/>
      <c r="G30" s="6"/>
      <c r="H30" s="6"/>
      <c r="I30" s="6"/>
      <c r="J30" s="6"/>
    </row>
    <row r="31" spans="3:27" x14ac:dyDescent="0.2">
      <c r="C31" s="200"/>
    </row>
    <row r="32" spans="3:27" x14ac:dyDescent="0.2">
      <c r="C32" s="200"/>
    </row>
    <row r="35" spans="3:13" x14ac:dyDescent="0.2">
      <c r="C35" s="35"/>
      <c r="D35" s="35"/>
      <c r="E35" s="35"/>
      <c r="F35" s="35"/>
    </row>
    <row r="36" spans="3:13" x14ac:dyDescent="0.2">
      <c r="C36" s="201"/>
      <c r="D36" s="35"/>
      <c r="E36" s="35"/>
      <c r="F36" s="35"/>
    </row>
    <row r="37" spans="3:13" x14ac:dyDescent="0.2">
      <c r="C37" s="35"/>
      <c r="D37" s="35"/>
      <c r="E37" s="35"/>
      <c r="F37" s="35"/>
    </row>
    <row r="38" spans="3:13" x14ac:dyDescent="0.2">
      <c r="C38" s="35"/>
      <c r="D38" s="35"/>
      <c r="E38" s="35"/>
      <c r="F38" s="35"/>
    </row>
    <row r="39" spans="3:13" x14ac:dyDescent="0.2">
      <c r="C39" s="35"/>
      <c r="D39" s="35"/>
      <c r="E39" s="35"/>
      <c r="F39" s="35"/>
    </row>
    <row r="40" spans="3:13" x14ac:dyDescent="0.2">
      <c r="C40" s="35"/>
      <c r="D40" s="35"/>
      <c r="E40" s="35"/>
      <c r="F40" s="35"/>
    </row>
    <row r="41" spans="3:13" x14ac:dyDescent="0.2">
      <c r="C41" s="35"/>
      <c r="D41" s="35"/>
      <c r="E41" s="35"/>
      <c r="F41" s="35"/>
    </row>
    <row r="42" spans="3:13" x14ac:dyDescent="0.2">
      <c r="C42" s="35"/>
      <c r="D42" s="35"/>
      <c r="E42" s="35"/>
      <c r="F42" s="35"/>
    </row>
    <row r="43" spans="3:13" x14ac:dyDescent="0.2">
      <c r="C43" s="35"/>
      <c r="D43" s="35"/>
      <c r="E43" s="35"/>
      <c r="F43" s="35"/>
    </row>
    <row r="44" spans="3:13" x14ac:dyDescent="0.2">
      <c r="C44" s="35"/>
      <c r="D44" s="35"/>
      <c r="E44" s="35"/>
      <c r="F44" s="35"/>
    </row>
    <row r="45" spans="3:13" ht="15" x14ac:dyDescent="0.25">
      <c r="C45" s="35"/>
      <c r="D45" s="35"/>
      <c r="E45" s="37"/>
      <c r="F45" s="37"/>
      <c r="L45" s="202"/>
      <c r="M45" s="202"/>
    </row>
    <row r="46" spans="3:13" x14ac:dyDescent="0.2">
      <c r="C46" s="35"/>
      <c r="D46" s="35"/>
      <c r="E46" s="35"/>
      <c r="F46" s="35"/>
    </row>
    <row r="47" spans="3:13" x14ac:dyDescent="0.2">
      <c r="C47" s="35"/>
      <c r="D47" s="35"/>
      <c r="E47" s="35"/>
      <c r="F47" s="35"/>
    </row>
    <row r="48" spans="3:13" ht="15" x14ac:dyDescent="0.25">
      <c r="C48" s="35"/>
      <c r="D48" s="37"/>
      <c r="E48" s="37"/>
      <c r="F48" s="37"/>
      <c r="L48" s="202"/>
      <c r="M48" s="202"/>
    </row>
    <row r="49" spans="3:7" x14ac:dyDescent="0.2">
      <c r="C49" s="35"/>
      <c r="D49" s="35"/>
      <c r="E49" s="35"/>
      <c r="F49" s="35"/>
    </row>
    <row r="50" spans="3:7" x14ac:dyDescent="0.2">
      <c r="C50" s="35"/>
      <c r="D50" s="35"/>
      <c r="E50" s="35"/>
      <c r="F50" s="35"/>
    </row>
    <row r="51" spans="3:7" ht="15" x14ac:dyDescent="0.25">
      <c r="C51" s="35"/>
      <c r="D51" s="37"/>
      <c r="E51" s="35"/>
      <c r="F51" s="35"/>
    </row>
    <row r="52" spans="3:7" x14ac:dyDescent="0.2">
      <c r="C52" s="35"/>
      <c r="D52" s="35"/>
      <c r="E52" s="35"/>
      <c r="F52" s="35"/>
      <c r="G52" s="35"/>
    </row>
    <row r="53" spans="3:7" x14ac:dyDescent="0.2">
      <c r="C53" s="203"/>
      <c r="D53" s="203"/>
      <c r="E53" s="35"/>
      <c r="F53" s="35"/>
      <c r="G53" s="35"/>
    </row>
    <row r="54" spans="3:7" x14ac:dyDescent="0.2">
      <c r="C54" s="204"/>
      <c r="D54" s="203"/>
      <c r="E54" s="35"/>
      <c r="F54" s="35"/>
      <c r="G54" s="35"/>
    </row>
    <row r="55" spans="3:7" x14ac:dyDescent="0.2">
      <c r="C55" s="203"/>
      <c r="D55" s="203"/>
      <c r="E55" s="35"/>
      <c r="F55" s="35"/>
      <c r="G55" s="35"/>
    </row>
    <row r="56" spans="3:7" x14ac:dyDescent="0.2">
      <c r="C56" s="203"/>
      <c r="D56" s="205"/>
      <c r="E56" s="35"/>
      <c r="F56" s="35"/>
      <c r="G56" s="35"/>
    </row>
    <row r="57" spans="3:7" x14ac:dyDescent="0.2">
      <c r="C57" s="203"/>
      <c r="D57" s="203"/>
      <c r="E57" s="35"/>
      <c r="F57" s="35"/>
      <c r="G57" s="35"/>
    </row>
    <row r="58" spans="3:7" x14ac:dyDescent="0.2">
      <c r="C58" s="203"/>
      <c r="D58" s="205"/>
      <c r="E58" s="35"/>
      <c r="F58" s="35"/>
      <c r="G58" s="35"/>
    </row>
    <row r="59" spans="3:7" x14ac:dyDescent="0.2">
      <c r="C59" s="203"/>
      <c r="D59" s="205"/>
      <c r="E59" s="35"/>
      <c r="F59" s="35"/>
      <c r="G59" s="35"/>
    </row>
    <row r="60" spans="3:7" ht="15" x14ac:dyDescent="0.25">
      <c r="C60" s="203"/>
      <c r="D60" s="206"/>
      <c r="E60" s="35"/>
      <c r="F60" s="35"/>
      <c r="G60" s="35"/>
    </row>
    <row r="61" spans="3:7" x14ac:dyDescent="0.2">
      <c r="C61" s="203"/>
      <c r="D61" s="203"/>
      <c r="E61" s="35"/>
      <c r="F61" s="35"/>
      <c r="G61" s="35"/>
    </row>
    <row r="62" spans="3:7" x14ac:dyDescent="0.2">
      <c r="C62" s="203"/>
      <c r="D62" s="203"/>
      <c r="E62" s="35"/>
      <c r="F62" s="35"/>
      <c r="G62" s="35"/>
    </row>
    <row r="63" spans="3:7" ht="15" x14ac:dyDescent="0.25">
      <c r="C63" s="203"/>
      <c r="D63" s="206"/>
      <c r="E63" s="35"/>
      <c r="F63" s="35"/>
      <c r="G63" s="35"/>
    </row>
    <row r="64" spans="3:7" x14ac:dyDescent="0.2">
      <c r="C64" s="203"/>
      <c r="D64" s="203"/>
      <c r="E64" s="35"/>
      <c r="F64" s="35"/>
      <c r="G64" s="35"/>
    </row>
    <row r="65" spans="3:7" x14ac:dyDescent="0.2">
      <c r="C65" s="203"/>
      <c r="D65" s="203"/>
      <c r="E65" s="35"/>
      <c r="F65" s="35"/>
      <c r="G65" s="35"/>
    </row>
    <row r="66" spans="3:7" ht="15" x14ac:dyDescent="0.25">
      <c r="C66" s="203"/>
      <c r="D66" s="207"/>
      <c r="E66" s="35"/>
      <c r="F66" s="35"/>
      <c r="G66" s="35"/>
    </row>
    <row r="67" spans="3:7" x14ac:dyDescent="0.2">
      <c r="C67" s="203"/>
      <c r="D67" s="203"/>
      <c r="E67" s="35"/>
      <c r="F67" s="35"/>
      <c r="G67" s="35"/>
    </row>
    <row r="68" spans="3:7" x14ac:dyDescent="0.2">
      <c r="C68" s="203"/>
      <c r="D68" s="203"/>
      <c r="E68" s="35"/>
      <c r="F68" s="35"/>
      <c r="G68" s="35"/>
    </row>
    <row r="69" spans="3:7" ht="15" x14ac:dyDescent="0.25">
      <c r="C69" s="203"/>
      <c r="D69" s="207"/>
      <c r="E69" s="35"/>
      <c r="F69" s="35"/>
      <c r="G69" s="35"/>
    </row>
    <row r="70" spans="3:7" x14ac:dyDescent="0.2">
      <c r="C70" s="35"/>
      <c r="D70" s="35"/>
      <c r="E70" s="35"/>
      <c r="F70" s="35"/>
      <c r="G70" s="35"/>
    </row>
    <row r="71" spans="3:7" x14ac:dyDescent="0.2">
      <c r="C71" s="35"/>
      <c r="D71" s="35"/>
      <c r="E71" s="35"/>
      <c r="F71" s="35"/>
      <c r="G71" s="35"/>
    </row>
    <row r="72" spans="3:7" x14ac:dyDescent="0.2">
      <c r="C72" s="35"/>
      <c r="D72" s="35"/>
      <c r="E72" s="35"/>
      <c r="F72" s="35"/>
      <c r="G72" s="35"/>
    </row>
    <row r="73" spans="3:7" x14ac:dyDescent="0.2">
      <c r="C73" s="35"/>
      <c r="D73" s="35"/>
      <c r="E73" s="35"/>
      <c r="F73" s="35"/>
      <c r="G73" s="35"/>
    </row>
    <row r="74" spans="3:7" x14ac:dyDescent="0.2">
      <c r="C74" s="35"/>
      <c r="D74" s="35"/>
      <c r="E74" s="35"/>
      <c r="F74" s="35"/>
      <c r="G74" s="35"/>
    </row>
  </sheetData>
  <mergeCells count="7">
    <mergeCell ref="B10:B12"/>
    <mergeCell ref="B13:B14"/>
    <mergeCell ref="J1:K1"/>
    <mergeCell ref="F18:F21"/>
    <mergeCell ref="P1:Q1"/>
    <mergeCell ref="B5:B6"/>
    <mergeCell ref="B7:B8"/>
  </mergeCells>
  <conditionalFormatting sqref="J4:J1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1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:M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15" sqref="F1:G15"/>
    </sheetView>
  </sheetViews>
  <sheetFormatPr defaultRowHeight="14.25" x14ac:dyDescent="0.2"/>
  <cols>
    <col min="1" max="1" width="13.7109375" style="1" customWidth="1"/>
    <col min="2" max="2" width="15.5703125" style="1" bestFit="1" customWidth="1"/>
    <col min="3" max="3" width="19.85546875" style="1" customWidth="1"/>
    <col min="4" max="4" width="18.42578125" style="1" customWidth="1"/>
    <col min="5" max="5" width="24.42578125" style="1" customWidth="1"/>
    <col min="6" max="6" width="23.7109375" style="3" customWidth="1"/>
    <col min="7" max="8" width="25.28515625" style="1" customWidth="1"/>
    <col min="9" max="16384" width="9.140625" style="1"/>
  </cols>
  <sheetData>
    <row r="1" spans="1:7" s="4" customFormat="1" ht="71.25" customHeight="1" x14ac:dyDescent="0.25">
      <c r="A1" s="221" t="s">
        <v>55</v>
      </c>
      <c r="B1" s="222" t="s">
        <v>56</v>
      </c>
      <c r="C1" s="222" t="s">
        <v>54</v>
      </c>
      <c r="D1" s="222" t="s">
        <v>58</v>
      </c>
      <c r="E1" s="222" t="s">
        <v>151</v>
      </c>
      <c r="F1" s="221" t="s">
        <v>61</v>
      </c>
      <c r="G1" s="223" t="s">
        <v>60</v>
      </c>
    </row>
    <row r="2" spans="1:7" x14ac:dyDescent="0.2">
      <c r="A2" s="5">
        <v>9.4</v>
      </c>
      <c r="B2" s="6">
        <v>9.4</v>
      </c>
      <c r="C2" s="6">
        <v>3128.752</v>
      </c>
      <c r="D2" s="6">
        <v>3165.556</v>
      </c>
      <c r="E2" s="6"/>
      <c r="F2" s="16">
        <f t="shared" ref="F2:F9" si="0">(A2-B2)</f>
        <v>0</v>
      </c>
      <c r="G2" s="7">
        <f>C2-D2</f>
        <v>-36.804000000000087</v>
      </c>
    </row>
    <row r="3" spans="1:7" ht="15" x14ac:dyDescent="0.25">
      <c r="A3" s="8">
        <v>9.4</v>
      </c>
      <c r="B3" s="9">
        <v>8.3000000000000007</v>
      </c>
      <c r="C3" s="9">
        <v>3128.752</v>
      </c>
      <c r="D3" s="9">
        <v>3126.8463999999999</v>
      </c>
      <c r="E3" s="10" t="s">
        <v>59</v>
      </c>
      <c r="F3" s="17">
        <f t="shared" si="0"/>
        <v>1.0999999999999996</v>
      </c>
      <c r="G3" s="11">
        <f t="shared" ref="G3:G9" si="1">C3-D3</f>
        <v>1.9056000000000495</v>
      </c>
    </row>
    <row r="4" spans="1:7" x14ac:dyDescent="0.2">
      <c r="A4" s="5">
        <v>9.4</v>
      </c>
      <c r="B4" s="6">
        <v>7.3999999999999995</v>
      </c>
      <c r="C4" s="6">
        <v>3128.752</v>
      </c>
      <c r="D4" s="6">
        <v>3095.8587000000002</v>
      </c>
      <c r="E4" s="6"/>
      <c r="F4" s="16">
        <f t="shared" si="0"/>
        <v>2.0000000000000009</v>
      </c>
      <c r="G4" s="7">
        <f t="shared" si="1"/>
        <v>32.893299999999726</v>
      </c>
    </row>
    <row r="5" spans="1:7" x14ac:dyDescent="0.2">
      <c r="A5" s="5">
        <v>9.4</v>
      </c>
      <c r="B5" s="6">
        <v>6.4</v>
      </c>
      <c r="C5" s="6">
        <v>3128.752</v>
      </c>
      <c r="D5" s="6">
        <v>3062.1266999999998</v>
      </c>
      <c r="E5" s="6"/>
      <c r="F5" s="16">
        <f t="shared" si="0"/>
        <v>3</v>
      </c>
      <c r="G5" s="7">
        <f t="shared" si="1"/>
        <v>66.625300000000152</v>
      </c>
    </row>
    <row r="6" spans="1:7" x14ac:dyDescent="0.2">
      <c r="A6" s="5">
        <v>9.4</v>
      </c>
      <c r="B6" s="6">
        <v>5.4</v>
      </c>
      <c r="C6" s="6">
        <v>3128.752</v>
      </c>
      <c r="D6" s="6">
        <v>3029.1079</v>
      </c>
      <c r="E6" s="6"/>
      <c r="F6" s="16">
        <f t="shared" si="0"/>
        <v>4</v>
      </c>
      <c r="G6" s="7">
        <f t="shared" si="1"/>
        <v>99.64409999999998</v>
      </c>
    </row>
    <row r="7" spans="1:7" ht="15" x14ac:dyDescent="0.25">
      <c r="A7" s="8">
        <v>9.4</v>
      </c>
      <c r="B7" s="9">
        <v>4.5999999999999996</v>
      </c>
      <c r="C7" s="9">
        <v>3128.752</v>
      </c>
      <c r="D7" s="9">
        <v>3003.1913</v>
      </c>
      <c r="E7" s="12" t="s">
        <v>57</v>
      </c>
      <c r="F7" s="17">
        <f t="shared" si="0"/>
        <v>4.8000000000000007</v>
      </c>
      <c r="G7" s="11">
        <f t="shared" si="1"/>
        <v>125.5607</v>
      </c>
    </row>
    <row r="8" spans="1:7" x14ac:dyDescent="0.2">
      <c r="A8" s="5">
        <v>9.4</v>
      </c>
      <c r="B8" s="6">
        <v>4.3999999999999995</v>
      </c>
      <c r="C8" s="6">
        <v>3128.752</v>
      </c>
      <c r="D8" s="6">
        <v>2996.7799</v>
      </c>
      <c r="E8" s="6"/>
      <c r="F8" s="16">
        <f t="shared" si="0"/>
        <v>5.0000000000000009</v>
      </c>
      <c r="G8" s="7">
        <f t="shared" si="1"/>
        <v>131.97209999999995</v>
      </c>
    </row>
    <row r="9" spans="1:7" ht="15" thickBot="1" x14ac:dyDescent="0.25">
      <c r="A9" s="13">
        <v>9.4</v>
      </c>
      <c r="B9" s="14">
        <v>3.4000000000000004</v>
      </c>
      <c r="C9" s="14">
        <v>3128.752</v>
      </c>
      <c r="D9" s="14">
        <v>2965.1212</v>
      </c>
      <c r="E9" s="14"/>
      <c r="F9" s="18">
        <f t="shared" si="0"/>
        <v>6</v>
      </c>
      <c r="G9" s="15">
        <f t="shared" si="1"/>
        <v>163.63079999999991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</vt:lpstr>
      <vt:lpstr>1. Notes</vt:lpstr>
      <vt:lpstr>2. Data</vt:lpstr>
      <vt:lpstr>3. LCA flows</vt:lpstr>
      <vt:lpstr>4. Break-even analysis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Meinshausen</dc:creator>
  <cp:lastModifiedBy>Shrivastava, Chandrima</cp:lastModifiedBy>
  <dcterms:created xsi:type="dcterms:W3CDTF">2019-09-06T12:53:23Z</dcterms:created>
  <dcterms:modified xsi:type="dcterms:W3CDTF">2022-05-20T07:54:09Z</dcterms:modified>
</cp:coreProperties>
</file>