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heodore.mathuram/Desktop/"/>
    </mc:Choice>
  </mc:AlternateContent>
  <xr:revisionPtr revIDLastSave="0" documentId="13_ncr:1_{09908003-96D3-BB4F-B647-D36948F54359}" xr6:coauthVersionLast="47" xr6:coauthVersionMax="47" xr10:uidLastSave="{00000000-0000-0000-0000-000000000000}"/>
  <bookViews>
    <workbookView xWindow="0" yWindow="500" windowWidth="28800" windowHeight="16620" xr2:uid="{00000000-000D-0000-FFFF-FFFF00000000}"/>
  </bookViews>
  <sheets>
    <sheet name="MLE12 Exp 1 Nov 17 FLUX" sheetId="2" r:id="rId1"/>
    <sheet name="MLE12 Absolute rates" sheetId="5" r:id="rId2"/>
    <sheet name="MLE12 Glucose Standard curve" sheetId="3" r:id="rId3"/>
    <sheet name="BEAS absolute rates" sheetId="6" r:id="rId4"/>
  </sheets>
  <definedNames>
    <definedName name="_xlnm.Print_Area" localSheetId="1">'MLE12 Absolute rates'!$A$1:$O$54</definedName>
    <definedName name="_xlnm.Print_Area" localSheetId="0">'MLE12 Exp 1 Nov 17 FLUX'!$A$2:$AH$51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3" i="6" l="1"/>
  <c r="H52" i="6"/>
  <c r="G53" i="6"/>
  <c r="G52" i="6"/>
  <c r="E48" i="6"/>
  <c r="F48" i="6"/>
  <c r="E49" i="6"/>
  <c r="F49" i="6"/>
  <c r="C48" i="6"/>
  <c r="D56" i="6"/>
  <c r="C56" i="6"/>
  <c r="I49" i="6"/>
  <c r="C49" i="6"/>
  <c r="I48" i="6"/>
  <c r="L32" i="5"/>
  <c r="K36" i="5"/>
  <c r="M50" i="5" s="1"/>
  <c r="K37" i="5"/>
  <c r="K38" i="5"/>
  <c r="K32" i="5"/>
  <c r="K33" i="5"/>
  <c r="K34" i="5"/>
  <c r="K35" i="5"/>
  <c r="M49" i="5"/>
  <c r="M45" i="5"/>
  <c r="M46" i="5"/>
  <c r="T24" i="2"/>
  <c r="T37" i="2" s="1"/>
  <c r="AU22" i="2"/>
  <c r="T25" i="2"/>
  <c r="T38" i="2" s="1"/>
  <c r="O22" i="5" s="1"/>
  <c r="O37" i="5" s="1"/>
  <c r="AU23" i="2"/>
  <c r="T26" i="2"/>
  <c r="AU24" i="2"/>
  <c r="T20" i="2"/>
  <c r="AU18" i="2"/>
  <c r="T21" i="2"/>
  <c r="AU19" i="2"/>
  <c r="T22" i="2"/>
  <c r="AU20" i="2"/>
  <c r="T23" i="2"/>
  <c r="AU21" i="2"/>
  <c r="J36" i="5"/>
  <c r="J37" i="5"/>
  <c r="J38" i="5"/>
  <c r="J32" i="5"/>
  <c r="J33" i="5"/>
  <c r="J34" i="5"/>
  <c r="J35" i="5"/>
  <c r="D44" i="5"/>
  <c r="L44" i="5"/>
  <c r="O44" i="5"/>
  <c r="C44" i="5"/>
  <c r="D32" i="5"/>
  <c r="D45" i="5" s="1"/>
  <c r="E32" i="5"/>
  <c r="F32" i="5"/>
  <c r="G32" i="5"/>
  <c r="H32" i="5"/>
  <c r="O45" i="5" s="1"/>
  <c r="I32" i="5"/>
  <c r="M32" i="5"/>
  <c r="N32" i="5"/>
  <c r="F45" i="5" s="1"/>
  <c r="D33" i="5"/>
  <c r="E33" i="5"/>
  <c r="F33" i="5"/>
  <c r="G33" i="5"/>
  <c r="I49" i="5" s="1"/>
  <c r="H33" i="5"/>
  <c r="O49" i="5" s="1"/>
  <c r="I33" i="5"/>
  <c r="L33" i="5"/>
  <c r="M33" i="5"/>
  <c r="N33" i="5"/>
  <c r="D34" i="5"/>
  <c r="E34" i="5"/>
  <c r="F34" i="5"/>
  <c r="H45" i="5" s="1"/>
  <c r="G34" i="5"/>
  <c r="H34" i="5"/>
  <c r="I34" i="5"/>
  <c r="J49" i="5" s="1"/>
  <c r="L34" i="5"/>
  <c r="G53" i="5" s="1"/>
  <c r="M34" i="5"/>
  <c r="N53" i="5" s="1"/>
  <c r="N34" i="5"/>
  <c r="D35" i="5"/>
  <c r="E35" i="5"/>
  <c r="F35" i="5"/>
  <c r="G35" i="5"/>
  <c r="H35" i="5"/>
  <c r="I35" i="5"/>
  <c r="L35" i="5"/>
  <c r="M35" i="5"/>
  <c r="N35" i="5"/>
  <c r="D36" i="5"/>
  <c r="D46" i="5" s="1"/>
  <c r="E36" i="5"/>
  <c r="L53" i="5" s="1"/>
  <c r="F36" i="5"/>
  <c r="G36" i="5"/>
  <c r="H36" i="5"/>
  <c r="I36" i="5"/>
  <c r="L36" i="5"/>
  <c r="M36" i="5"/>
  <c r="N36" i="5"/>
  <c r="D37" i="5"/>
  <c r="E37" i="5"/>
  <c r="F37" i="5"/>
  <c r="H50" i="5" s="1"/>
  <c r="G37" i="5"/>
  <c r="I46" i="5" s="1"/>
  <c r="H37" i="5"/>
  <c r="O46" i="5" s="1"/>
  <c r="I37" i="5"/>
  <c r="L37" i="5"/>
  <c r="M37" i="5"/>
  <c r="N37" i="5"/>
  <c r="D38" i="5"/>
  <c r="E38" i="5"/>
  <c r="F38" i="5"/>
  <c r="G38" i="5"/>
  <c r="H38" i="5"/>
  <c r="I38" i="5"/>
  <c r="J50" i="5" s="1"/>
  <c r="L38" i="5"/>
  <c r="G50" i="5" s="1"/>
  <c r="M38" i="5"/>
  <c r="N46" i="5" s="1"/>
  <c r="N38" i="5"/>
  <c r="C33" i="5"/>
  <c r="C34" i="5"/>
  <c r="C35" i="5"/>
  <c r="C36" i="5"/>
  <c r="C37" i="5"/>
  <c r="C38" i="5"/>
  <c r="C46" i="5" s="1"/>
  <c r="C32" i="5"/>
  <c r="P7" i="3"/>
  <c r="P8" i="3"/>
  <c r="P9" i="3"/>
  <c r="P10" i="3" s="1"/>
  <c r="P11" i="3" s="1"/>
  <c r="P12" i="3" s="1"/>
  <c r="P13" i="3" s="1"/>
  <c r="P14" i="3" s="1"/>
  <c r="P15" i="3" s="1"/>
  <c r="P16" i="3" s="1"/>
  <c r="O14" i="3"/>
  <c r="O15" i="3"/>
  <c r="O16" i="3"/>
  <c r="O7" i="3"/>
  <c r="O8" i="3"/>
  <c r="O9" i="3"/>
  <c r="O10" i="3"/>
  <c r="O11" i="3"/>
  <c r="O12" i="3"/>
  <c r="O13" i="3"/>
  <c r="O6" i="3"/>
  <c r="D20" i="2"/>
  <c r="D33" i="2" s="1"/>
  <c r="D21" i="2"/>
  <c r="D22" i="2"/>
  <c r="D23" i="2"/>
  <c r="E20" i="2"/>
  <c r="E21" i="2"/>
  <c r="E22" i="2"/>
  <c r="E35" i="2"/>
  <c r="E23" i="2"/>
  <c r="F20" i="2"/>
  <c r="F33" i="2" s="1"/>
  <c r="F21" i="2"/>
  <c r="F34" i="2"/>
  <c r="F22" i="2"/>
  <c r="F23" i="2"/>
  <c r="G20" i="2"/>
  <c r="G21" i="2"/>
  <c r="G22" i="2"/>
  <c r="G35" i="2" s="1"/>
  <c r="G23" i="2"/>
  <c r="H20" i="2"/>
  <c r="H33" i="2" s="1"/>
  <c r="H21" i="2"/>
  <c r="H22" i="2"/>
  <c r="H23" i="2"/>
  <c r="H36" i="2" s="1"/>
  <c r="I20" i="2"/>
  <c r="I21" i="2"/>
  <c r="I22" i="2"/>
  <c r="I23" i="2"/>
  <c r="J20" i="2"/>
  <c r="J33" i="2" s="1"/>
  <c r="J21" i="2"/>
  <c r="J34" i="2" s="1"/>
  <c r="J22" i="2"/>
  <c r="J35" i="2"/>
  <c r="J23" i="2"/>
  <c r="K20" i="2"/>
  <c r="K33" i="2" s="1"/>
  <c r="K21" i="2"/>
  <c r="K22" i="2"/>
  <c r="K35" i="2" s="1"/>
  <c r="K23" i="2"/>
  <c r="L20" i="2"/>
  <c r="L33" i="2" s="1"/>
  <c r="L21" i="2"/>
  <c r="L34" i="2" s="1"/>
  <c r="L22" i="2"/>
  <c r="L23" i="2"/>
  <c r="N20" i="2"/>
  <c r="N33" i="2" s="1"/>
  <c r="N21" i="2"/>
  <c r="N34" i="2" s="1"/>
  <c r="N22" i="2"/>
  <c r="N35" i="2" s="1"/>
  <c r="N23" i="2"/>
  <c r="P20" i="2"/>
  <c r="P21" i="2"/>
  <c r="P22" i="2"/>
  <c r="P35" i="2"/>
  <c r="P23" i="2"/>
  <c r="R20" i="2"/>
  <c r="R33" i="2" s="1"/>
  <c r="R21" i="2"/>
  <c r="R22" i="2"/>
  <c r="R35" i="2" s="1"/>
  <c r="R23" i="2"/>
  <c r="U20" i="2"/>
  <c r="U33" i="2" s="1"/>
  <c r="U21" i="2"/>
  <c r="U22" i="2"/>
  <c r="U23" i="2"/>
  <c r="D24" i="2"/>
  <c r="D37" i="2" s="1"/>
  <c r="D25" i="2"/>
  <c r="D38" i="2" s="1"/>
  <c r="D26" i="2"/>
  <c r="D39" i="2" s="1"/>
  <c r="E24" i="2"/>
  <c r="E25" i="2"/>
  <c r="E38" i="2" s="1"/>
  <c r="E26" i="2"/>
  <c r="E39" i="2" s="1"/>
  <c r="F24" i="2"/>
  <c r="F37" i="2"/>
  <c r="F25" i="2"/>
  <c r="F38" i="2" s="1"/>
  <c r="F26" i="2"/>
  <c r="G24" i="2"/>
  <c r="G25" i="2"/>
  <c r="G38" i="2" s="1"/>
  <c r="G26" i="2"/>
  <c r="G39" i="2" s="1"/>
  <c r="H24" i="2"/>
  <c r="H37" i="2" s="1"/>
  <c r="H25" i="2"/>
  <c r="H38" i="2" s="1"/>
  <c r="H26" i="2"/>
  <c r="H39" i="2" s="1"/>
  <c r="I24" i="2"/>
  <c r="I37" i="2" s="1"/>
  <c r="I25" i="2"/>
  <c r="I26" i="2"/>
  <c r="I39" i="2" s="1"/>
  <c r="J24" i="2"/>
  <c r="J37" i="2" s="1"/>
  <c r="J25" i="2"/>
  <c r="J38" i="2" s="1"/>
  <c r="J26" i="2"/>
  <c r="J39" i="2"/>
  <c r="K24" i="2"/>
  <c r="K37" i="2" s="1"/>
  <c r="K25" i="2"/>
  <c r="K26" i="2"/>
  <c r="K39" i="2" s="1"/>
  <c r="L24" i="2"/>
  <c r="L37" i="2" s="1"/>
  <c r="L25" i="2"/>
  <c r="L38" i="2"/>
  <c r="L26" i="2"/>
  <c r="L39" i="2"/>
  <c r="N24" i="2"/>
  <c r="N37" i="2" s="1"/>
  <c r="N25" i="2"/>
  <c r="N26" i="2"/>
  <c r="P24" i="2"/>
  <c r="P37" i="2" s="1"/>
  <c r="P25" i="2"/>
  <c r="P38" i="2" s="1"/>
  <c r="P26" i="2"/>
  <c r="R24" i="2"/>
  <c r="R37" i="2" s="1"/>
  <c r="R25" i="2"/>
  <c r="R38" i="2" s="1"/>
  <c r="R26" i="2"/>
  <c r="U24" i="2"/>
  <c r="U37" i="2" s="1"/>
  <c r="U25" i="2"/>
  <c r="U38" i="2"/>
  <c r="U26" i="2"/>
  <c r="U39" i="2" s="1"/>
  <c r="C24" i="2"/>
  <c r="C37" i="2" s="1"/>
  <c r="C25" i="2"/>
  <c r="C38" i="2" s="1"/>
  <c r="C26" i="2"/>
  <c r="C20" i="2"/>
  <c r="C33" i="2" s="1"/>
  <c r="C21" i="2"/>
  <c r="C34" i="2" s="1"/>
  <c r="C22" i="2"/>
  <c r="C35" i="2" s="1"/>
  <c r="C23" i="2"/>
  <c r="Q21" i="2"/>
  <c r="S21" i="2"/>
  <c r="Q22" i="2"/>
  <c r="S22" i="2"/>
  <c r="Q23" i="2"/>
  <c r="S23" i="2"/>
  <c r="Q24" i="2"/>
  <c r="S24" i="2"/>
  <c r="Q25" i="2"/>
  <c r="S25" i="2"/>
  <c r="Q26" i="2"/>
  <c r="S26" i="2"/>
  <c r="S20" i="2"/>
  <c r="Q20" i="2"/>
  <c r="O21" i="2"/>
  <c r="O22" i="2"/>
  <c r="O23" i="2"/>
  <c r="O24" i="2"/>
  <c r="O25" i="2"/>
  <c r="O26" i="2"/>
  <c r="O20" i="2"/>
  <c r="M21" i="2"/>
  <c r="M22" i="2"/>
  <c r="M23" i="2"/>
  <c r="M24" i="2"/>
  <c r="M25" i="2"/>
  <c r="M26" i="2"/>
  <c r="M20" i="2"/>
  <c r="I45" i="5"/>
  <c r="L45" i="5"/>
  <c r="L49" i="5"/>
  <c r="O50" i="5"/>
  <c r="N49" i="5"/>
  <c r="M53" i="5"/>
  <c r="I53" i="5"/>
  <c r="C49" i="5"/>
  <c r="C53" i="5"/>
  <c r="F46" i="5"/>
  <c r="H46" i="5"/>
  <c r="H53" i="5"/>
  <c r="AR18" i="2"/>
  <c r="AR19" i="2"/>
  <c r="AR20" i="2"/>
  <c r="AR21" i="2"/>
  <c r="AR22" i="2"/>
  <c r="AR23" i="2"/>
  <c r="AR24" i="2"/>
  <c r="AO19" i="2"/>
  <c r="AO20" i="2"/>
  <c r="AO21" i="2"/>
  <c r="AO22" i="2"/>
  <c r="AO23" i="2"/>
  <c r="AO24" i="2"/>
  <c r="AO18" i="2"/>
  <c r="J53" i="5"/>
  <c r="U36" i="2" l="1"/>
  <c r="T35" i="2"/>
  <c r="O19" i="5" s="1"/>
  <c r="O34" i="5" s="1"/>
  <c r="N38" i="2"/>
  <c r="K38" i="2"/>
  <c r="I38" i="2"/>
  <c r="F39" i="2"/>
  <c r="H35" i="2"/>
  <c r="F35" i="2"/>
  <c r="E33" i="2"/>
  <c r="G34" i="2"/>
  <c r="T33" i="2"/>
  <c r="H34" i="2"/>
  <c r="L50" i="5"/>
  <c r="L46" i="5"/>
  <c r="L36" i="2"/>
  <c r="C50" i="5"/>
  <c r="L35" i="2"/>
  <c r="E36" i="2"/>
  <c r="T34" i="2"/>
  <c r="O18" i="5" s="1"/>
  <c r="O33" i="5" s="1"/>
  <c r="U35" i="2"/>
  <c r="C36" i="2"/>
  <c r="C46" i="2" s="1"/>
  <c r="D49" i="5"/>
  <c r="O53" i="5"/>
  <c r="P34" i="2"/>
  <c r="I36" i="2"/>
  <c r="E34" i="2"/>
  <c r="N45" i="5"/>
  <c r="F53" i="5"/>
  <c r="K36" i="2"/>
  <c r="J46" i="5"/>
  <c r="K45" i="5"/>
  <c r="U34" i="2"/>
  <c r="U46" i="2" s="1"/>
  <c r="I35" i="2"/>
  <c r="F50" i="5"/>
  <c r="F49" i="5"/>
  <c r="I50" i="5"/>
  <c r="P33" i="2"/>
  <c r="G33" i="2"/>
  <c r="G46" i="2" s="1"/>
  <c r="D36" i="2"/>
  <c r="N39" i="2"/>
  <c r="G49" i="5"/>
  <c r="N36" i="2"/>
  <c r="N46" i="2" s="1"/>
  <c r="I34" i="2"/>
  <c r="D35" i="2"/>
  <c r="C45" i="5"/>
  <c r="G46" i="5"/>
  <c r="G45" i="5"/>
  <c r="K46" i="5"/>
  <c r="N50" i="5"/>
  <c r="G36" i="2"/>
  <c r="H49" i="5"/>
  <c r="D50" i="5"/>
  <c r="R36" i="2"/>
  <c r="I33" i="2"/>
  <c r="D34" i="2"/>
  <c r="D46" i="2" s="1"/>
  <c r="J45" i="5"/>
  <c r="E37" i="2"/>
  <c r="U47" i="2"/>
  <c r="E47" i="2"/>
  <c r="O21" i="5"/>
  <c r="O36" i="5" s="1"/>
  <c r="K47" i="2"/>
  <c r="N50" i="2" a="1"/>
  <c r="N50" i="2" s="1"/>
  <c r="J47" i="2"/>
  <c r="U50" i="2" a="1"/>
  <c r="U50" i="2" s="1"/>
  <c r="E46" i="2"/>
  <c r="E50" i="2" a="1"/>
  <c r="E50" i="2" s="1"/>
  <c r="C50" i="2" a="1"/>
  <c r="C50" i="2" s="1"/>
  <c r="L50" i="2" a="1"/>
  <c r="L50" i="2" s="1"/>
  <c r="L47" i="2"/>
  <c r="I47" i="2"/>
  <c r="O17" i="5"/>
  <c r="O32" i="5" s="1"/>
  <c r="I50" i="2" a="1"/>
  <c r="I50" i="2" s="1"/>
  <c r="D50" i="2" a="1"/>
  <c r="D50" i="2" s="1"/>
  <c r="H47" i="2"/>
  <c r="H50" i="2" a="1"/>
  <c r="H50" i="2" s="1"/>
  <c r="D47" i="2"/>
  <c r="D53" i="5"/>
  <c r="K53" i="5"/>
  <c r="K49" i="5"/>
  <c r="T39" i="2"/>
  <c r="O23" i="5" s="1"/>
  <c r="O38" i="5" s="1"/>
  <c r="P39" i="2"/>
  <c r="P47" i="2" s="1"/>
  <c r="P36" i="2"/>
  <c r="P46" i="2" s="1"/>
  <c r="J36" i="2"/>
  <c r="F36" i="2"/>
  <c r="F50" i="2" s="1" a="1"/>
  <c r="F50" i="2" s="1"/>
  <c r="T36" i="2"/>
  <c r="O20" i="5" s="1"/>
  <c r="O35" i="5" s="1"/>
  <c r="K50" i="5"/>
  <c r="R39" i="2"/>
  <c r="R47" i="2" s="1"/>
  <c r="G37" i="2"/>
  <c r="H46" i="2"/>
  <c r="N47" i="2"/>
  <c r="C39" i="2"/>
  <c r="C47" i="2" s="1"/>
  <c r="F47" i="2"/>
  <c r="R34" i="2"/>
  <c r="K34" i="2"/>
  <c r="K50" i="2" s="1" a="1"/>
  <c r="K50" i="2" s="1"/>
  <c r="K46" i="2" l="1"/>
  <c r="I46" i="2"/>
  <c r="L46" i="2"/>
  <c r="T47" i="2"/>
  <c r="T46" i="2"/>
  <c r="R50" i="2" a="1"/>
  <c r="R50" i="2" s="1"/>
  <c r="E45" i="5"/>
  <c r="E53" i="5"/>
  <c r="E49" i="5"/>
  <c r="F46" i="2"/>
  <c r="T50" i="2" a="1"/>
  <c r="T50" i="2" s="1"/>
  <c r="R46" i="2"/>
  <c r="E50" i="5"/>
  <c r="E46" i="5"/>
  <c r="J46" i="2"/>
  <c r="G50" i="2" a="1"/>
  <c r="G50" i="2" s="1"/>
  <c r="G47" i="2"/>
  <c r="P50" i="2" a="1"/>
  <c r="P50" i="2" s="1"/>
  <c r="J50" i="2" a="1"/>
  <c r="J50" i="2" s="1"/>
</calcChain>
</file>

<file path=xl/sharedStrings.xml><?xml version="1.0" encoding="utf-8"?>
<sst xmlns="http://schemas.openxmlformats.org/spreadsheetml/2006/main" count="404" uniqueCount="119">
  <si>
    <t>Sample 1</t>
  </si>
  <si>
    <t>Sample 2</t>
  </si>
  <si>
    <t>Sample 3</t>
  </si>
  <si>
    <t>Sample 4</t>
  </si>
  <si>
    <t>Sample 5</t>
  </si>
  <si>
    <t>Sample 6</t>
  </si>
  <si>
    <t>Sample 7</t>
  </si>
  <si>
    <t>Lactate M0</t>
  </si>
  <si>
    <t>Lactate M3</t>
  </si>
  <si>
    <t>Pyruvate</t>
  </si>
  <si>
    <t>Alanine M0</t>
  </si>
  <si>
    <t>Alanine M3</t>
  </si>
  <si>
    <t>Succinate M0</t>
  </si>
  <si>
    <t>Succinate M2</t>
  </si>
  <si>
    <t>Succinate M4</t>
  </si>
  <si>
    <t>Fumarate M0</t>
  </si>
  <si>
    <t>Fumarate M2</t>
  </si>
  <si>
    <t>Fumarate M3</t>
  </si>
  <si>
    <t>Fumarate M4</t>
  </si>
  <si>
    <t>Serine M0</t>
  </si>
  <si>
    <t>Serine M3</t>
  </si>
  <si>
    <t>Mal/OAA M0</t>
  </si>
  <si>
    <t>Mal/OAA M4</t>
  </si>
  <si>
    <t>Mal/OAA M5</t>
  </si>
  <si>
    <t>Aspartate M0</t>
  </si>
  <si>
    <t>Asparate M2</t>
  </si>
  <si>
    <t>Aspartate M4</t>
  </si>
  <si>
    <t>alphaHG M0</t>
  </si>
  <si>
    <t>alphaHG M2</t>
  </si>
  <si>
    <t>alphaHG M4</t>
  </si>
  <si>
    <t>Glu-ate M0</t>
  </si>
  <si>
    <t>Glu-ate M2</t>
  </si>
  <si>
    <t>Glu-ate M4</t>
  </si>
  <si>
    <t>Citrate M0</t>
  </si>
  <si>
    <t>Citrate M1</t>
  </si>
  <si>
    <t>Citrate M2</t>
  </si>
  <si>
    <t>Citrate M3</t>
  </si>
  <si>
    <t>Citrate M5</t>
  </si>
  <si>
    <t>Media</t>
  </si>
  <si>
    <t>Std 0</t>
  </si>
  <si>
    <t>Std 2</t>
  </si>
  <si>
    <t>Std 3</t>
  </si>
  <si>
    <t>Std 4</t>
  </si>
  <si>
    <t>Std 5</t>
  </si>
  <si>
    <t>Std 6</t>
  </si>
  <si>
    <t>Std 7</t>
  </si>
  <si>
    <t>Std 8</t>
  </si>
  <si>
    <t>Std 9</t>
  </si>
  <si>
    <t>Std 10</t>
  </si>
  <si>
    <t>Std 11</t>
  </si>
  <si>
    <t>still not there</t>
  </si>
  <si>
    <t>Lactate</t>
  </si>
  <si>
    <t>Alanine</t>
  </si>
  <si>
    <t>Succinate</t>
  </si>
  <si>
    <t>Serine</t>
  </si>
  <si>
    <t>Malate</t>
  </si>
  <si>
    <t>Malate M4</t>
  </si>
  <si>
    <t>OAA</t>
  </si>
  <si>
    <t>Aspartate M2</t>
  </si>
  <si>
    <t>AlphaHG M2</t>
  </si>
  <si>
    <t>AlphaHG M4</t>
  </si>
  <si>
    <t>Glutamate M2</t>
  </si>
  <si>
    <t>Glutamate M4</t>
  </si>
  <si>
    <t>Control 1</t>
  </si>
  <si>
    <t>Control 2</t>
  </si>
  <si>
    <t>Control 3</t>
  </si>
  <si>
    <t>Control 4</t>
  </si>
  <si>
    <t>Control</t>
  </si>
  <si>
    <t>Fumarate</t>
  </si>
  <si>
    <t>Aspartate</t>
  </si>
  <si>
    <t>alphaKG</t>
  </si>
  <si>
    <t>Glutamate</t>
  </si>
  <si>
    <t>Citrate</t>
  </si>
  <si>
    <t>ABSOLUTE RATES</t>
  </si>
  <si>
    <t>AlphaKG</t>
  </si>
  <si>
    <t>CitrateM2</t>
  </si>
  <si>
    <t>Citrate/OAA</t>
  </si>
  <si>
    <t>Citrate/Ac-CoA</t>
  </si>
  <si>
    <t>OAA (x10)</t>
  </si>
  <si>
    <t>Aspartate (x10)</t>
  </si>
  <si>
    <t>Concentrations</t>
  </si>
  <si>
    <t>Flux</t>
  </si>
  <si>
    <t>Control SD</t>
  </si>
  <si>
    <t>CR805 1</t>
  </si>
  <si>
    <t>CR805 2</t>
  </si>
  <si>
    <t>CR805 3</t>
  </si>
  <si>
    <t>CR805</t>
  </si>
  <si>
    <t>CR805 SD</t>
  </si>
  <si>
    <t>p -value C/CR805</t>
  </si>
  <si>
    <t>Glucose to</t>
  </si>
  <si>
    <t>Glutamine</t>
  </si>
  <si>
    <t>Glycine</t>
  </si>
  <si>
    <t>M+2</t>
  </si>
  <si>
    <t>M+3</t>
  </si>
  <si>
    <t>M+4</t>
  </si>
  <si>
    <t>Samples 1-5</t>
  </si>
  <si>
    <t>Samples 6-10</t>
  </si>
  <si>
    <t>Samples 11-15</t>
  </si>
  <si>
    <t>Samples 21-25</t>
  </si>
  <si>
    <t>Samples 26-30</t>
  </si>
  <si>
    <t>Samples 31-35</t>
  </si>
  <si>
    <t>Samples 41-45</t>
  </si>
  <si>
    <t>Samples 46-50</t>
  </si>
  <si>
    <t>Samples 51-55</t>
  </si>
  <si>
    <t>hsa-LDL1</t>
  </si>
  <si>
    <t>mmu-CR805</t>
  </si>
  <si>
    <t>Beas set1</t>
  </si>
  <si>
    <t>Beas set 2</t>
  </si>
  <si>
    <t xml:space="preserve">MLE12 set1 </t>
  </si>
  <si>
    <t xml:space="preserve">Control </t>
  </si>
  <si>
    <t>hsa-LDL1 2</t>
  </si>
  <si>
    <t>hsa-LDL1 3</t>
  </si>
  <si>
    <t>CitrateM5</t>
  </si>
  <si>
    <t>Control 5</t>
  </si>
  <si>
    <t>hsa-LDL1 4</t>
  </si>
  <si>
    <t>hsa-LDL1 5</t>
  </si>
  <si>
    <t>hsa-LDL1 SD</t>
  </si>
  <si>
    <t>Malate M2</t>
  </si>
  <si>
    <t>Table 2. Metabolic Flux of TCA intermediates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</si>
</sst>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0.000000"/>
    <numFmt numFmtId="168" formatCode="0.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indexed="206"/>
      <name val="Calibri"/>
      <family val="2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58">
    <xf numFmtId="0" fontId="0" fillId="0" borderId="0"/>
    <xf numFmtId="0" fontId="2" fillId="3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5" borderId="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4" xfId="0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165" fontId="0" fillId="5" borderId="0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5" fontId="0" fillId="0" borderId="0" xfId="0" applyNumberFormat="1" applyBorder="1"/>
    <xf numFmtId="166" fontId="0" fillId="0" borderId="0" xfId="0" applyNumberFormat="1" applyBorder="1"/>
    <xf numFmtId="0" fontId="0" fillId="0" borderId="7" xfId="0" applyBorder="1"/>
    <xf numFmtId="0" fontId="0" fillId="5" borderId="6" xfId="0" applyFill="1" applyBorder="1"/>
    <xf numFmtId="166" fontId="0" fillId="5" borderId="0" xfId="0" applyNumberFormat="1" applyFill="1" applyBorder="1" applyAlignment="1">
      <alignment horizontal="center"/>
    </xf>
    <xf numFmtId="0" fontId="0" fillId="6" borderId="6" xfId="0" applyFill="1" applyBorder="1"/>
    <xf numFmtId="2" fontId="0" fillId="6" borderId="0" xfId="0" applyNumberFormat="1" applyFill="1" applyBorder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0" fontId="0" fillId="2" borderId="14" xfId="0" applyFill="1" applyBorder="1"/>
    <xf numFmtId="165" fontId="0" fillId="2" borderId="15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1" xfId="0" applyBorder="1"/>
    <xf numFmtId="166" fontId="0" fillId="0" borderId="7" xfId="0" applyNumberFormat="1" applyBorder="1" applyAlignment="1">
      <alignment horizontal="center"/>
    </xf>
    <xf numFmtId="0" fontId="0" fillId="6" borderId="0" xfId="0" applyFill="1" applyBorder="1"/>
    <xf numFmtId="0" fontId="0" fillId="6" borderId="2" xfId="0" applyFill="1" applyBorder="1"/>
    <xf numFmtId="0" fontId="0" fillId="5" borderId="0" xfId="0" applyFill="1" applyBorder="1"/>
    <xf numFmtId="0" fontId="7" fillId="7" borderId="6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0" fillId="0" borderId="5" xfId="0" applyBorder="1"/>
    <xf numFmtId="1" fontId="1" fillId="0" borderId="0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0" fillId="5" borderId="1" xfId="1" applyFont="1" applyFill="1" applyBorder="1"/>
    <xf numFmtId="0" fontId="0" fillId="5" borderId="7" xfId="0" applyFill="1" applyBorder="1"/>
    <xf numFmtId="0" fontId="0" fillId="6" borderId="9" xfId="0" applyFill="1" applyBorder="1"/>
    <xf numFmtId="0" fontId="0" fillId="6" borderId="7" xfId="0" applyFill="1" applyBorder="1"/>
    <xf numFmtId="0" fontId="0" fillId="0" borderId="12" xfId="0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166" fontId="0" fillId="0" borderId="0" xfId="0" applyNumberForma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5" fontId="0" fillId="0" borderId="4" xfId="0" applyNumberFormat="1" applyBorder="1"/>
    <xf numFmtId="164" fontId="1" fillId="6" borderId="0" xfId="0" applyNumberFormat="1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0" fillId="0" borderId="10" xfId="0" applyFill="1" applyBorder="1"/>
    <xf numFmtId="166" fontId="1" fillId="10" borderId="0" xfId="0" applyNumberFormat="1" applyFont="1" applyFill="1" applyBorder="1" applyAlignment="1">
      <alignment horizontal="center"/>
    </xf>
    <xf numFmtId="166" fontId="0" fillId="10" borderId="0" xfId="0" applyNumberForma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11" xfId="0" applyFill="1" applyBorder="1"/>
    <xf numFmtId="0" fontId="7" fillId="0" borderId="0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0" fillId="6" borderId="11" xfId="0" applyFill="1" applyBorder="1"/>
    <xf numFmtId="0" fontId="0" fillId="6" borderId="11" xfId="0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166" fontId="0" fillId="0" borderId="12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6" xfId="0" applyFill="1" applyBorder="1"/>
    <xf numFmtId="0" fontId="0" fillId="0" borderId="10" xfId="0" applyBorder="1"/>
    <xf numFmtId="2" fontId="0" fillId="0" borderId="7" xfId="0" applyNumberForma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6" borderId="11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0" fillId="6" borderId="11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0" fontId="10" fillId="0" borderId="0" xfId="0" applyFont="1" applyFill="1" applyBorder="1"/>
    <xf numFmtId="0" fontId="0" fillId="0" borderId="7" xfId="0" applyFill="1" applyBorder="1"/>
    <xf numFmtId="0" fontId="0" fillId="0" borderId="15" xfId="0" applyBorder="1"/>
    <xf numFmtId="0" fontId="0" fillId="6" borderId="12" xfId="0" applyFill="1" applyBorder="1"/>
    <xf numFmtId="164" fontId="1" fillId="0" borderId="0" xfId="0" applyNumberFormat="1" applyFont="1" applyFill="1" applyBorder="1" applyAlignment="1">
      <alignment horizontal="center"/>
    </xf>
    <xf numFmtId="167" fontId="0" fillId="0" borderId="11" xfId="0" applyNumberFormat="1" applyFill="1" applyBorder="1" applyAlignment="1">
      <alignment horizontal="left" indent="2"/>
    </xf>
    <xf numFmtId="0" fontId="0" fillId="0" borderId="21" xfId="0" applyBorder="1"/>
    <xf numFmtId="2" fontId="0" fillId="0" borderId="21" xfId="0" applyNumberFormat="1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2" fontId="0" fillId="11" borderId="0" xfId="0" applyNumberFormat="1" applyFill="1" applyAlignment="1">
      <alignment horizontal="center"/>
    </xf>
    <xf numFmtId="2" fontId="0" fillId="11" borderId="0" xfId="0" applyNumberFormat="1" applyFill="1" applyBorder="1" applyAlignment="1">
      <alignment horizontal="center"/>
    </xf>
    <xf numFmtId="2" fontId="0" fillId="11" borderId="2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4" borderId="21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7" fontId="0" fillId="0" borderId="0" xfId="0" applyNumberFormat="1"/>
    <xf numFmtId="0" fontId="11" fillId="0" borderId="0" xfId="0" applyFont="1" applyAlignment="1">
      <alignment horizontal="center"/>
    </xf>
    <xf numFmtId="0" fontId="0" fillId="0" borderId="23" xfId="0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6" fillId="0" borderId="0" xfId="0" applyFont="1" applyBorder="1" applyAlignment="1"/>
    <xf numFmtId="0" fontId="7" fillId="8" borderId="0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7" fillId="8" borderId="2" xfId="0" applyFont="1" applyFill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5" borderId="22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164" fontId="0" fillId="0" borderId="24" xfId="0" applyNumberFormat="1" applyFont="1" applyFill="1" applyBorder="1" applyAlignment="1">
      <alignment horizontal="center"/>
    </xf>
    <xf numFmtId="2" fontId="0" fillId="0" borderId="27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2" fontId="0" fillId="0" borderId="21" xfId="0" applyNumberFormat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1" fontId="0" fillId="0" borderId="21" xfId="0" applyNumberFormat="1" applyFont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1" fontId="0" fillId="0" borderId="24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168" fontId="0" fillId="12" borderId="0" xfId="0" applyNumberFormat="1" applyFont="1" applyFill="1" applyBorder="1" applyAlignment="1">
      <alignment horizontal="right"/>
    </xf>
    <xf numFmtId="168" fontId="0" fillId="12" borderId="0" xfId="0" applyNumberFormat="1" applyFont="1" applyFill="1" applyAlignment="1">
      <alignment horizontal="right"/>
    </xf>
    <xf numFmtId="168" fontId="7" fillId="13" borderId="0" xfId="0" applyNumberFormat="1" applyFont="1" applyFill="1" applyBorder="1" applyAlignment="1">
      <alignment horizontal="right"/>
    </xf>
    <xf numFmtId="168" fontId="0" fillId="14" borderId="0" xfId="0" applyNumberFormat="1" applyFont="1" applyFill="1" applyBorder="1" applyAlignment="1">
      <alignment horizontal="right"/>
    </xf>
    <xf numFmtId="168" fontId="0" fillId="14" borderId="0" xfId="0" applyNumberFormat="1" applyFont="1" applyFill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8" fontId="0" fillId="0" borderId="0" xfId="0" applyNumberFormat="1" applyFont="1" applyBorder="1" applyAlignment="1">
      <alignment horizontal="right"/>
    </xf>
    <xf numFmtId="168" fontId="0" fillId="15" borderId="0" xfId="0" applyNumberFormat="1" applyFont="1" applyFill="1" applyBorder="1" applyAlignment="1">
      <alignment horizontal="right"/>
    </xf>
    <xf numFmtId="168" fontId="0" fillId="15" borderId="0" xfId="0" applyNumberFormat="1" applyFont="1" applyFill="1" applyAlignment="1">
      <alignment horizontal="right"/>
    </xf>
    <xf numFmtId="168" fontId="0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24" xfId="0" applyFont="1" applyBorder="1" applyAlignment="1">
      <alignment horizontal="center"/>
    </xf>
  </cellXfs>
  <cellStyles count="5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9816272965804E-2"/>
          <c:y val="5.0925925925925902E-2"/>
          <c:w val="0.87122462817147905"/>
          <c:h val="0.8283639545056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'MLE12 Absolute rates'!$B$45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FF-0840-8369-05DE2A8A9E2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7FF-0840-8369-05DE2A8A9E21}"/>
              </c:ext>
            </c:extLst>
          </c:dPt>
          <c:errBars>
            <c:errBarType val="plus"/>
            <c:errValType val="cust"/>
            <c:noEndCap val="0"/>
            <c:plus>
              <c:numRef>
                <c:f>'MLE12 Absolute rates'!$C$49:$D$49</c:f>
                <c:numCache>
                  <c:formatCode>General</c:formatCode>
                  <c:ptCount val="2"/>
                  <c:pt idx="0">
                    <c:v>3.4437315931232431</c:v>
                  </c:pt>
                  <c:pt idx="1">
                    <c:v>0.1656924155818004</c:v>
                  </c:pt>
                </c:numCache>
              </c:numRef>
            </c:plus>
            <c:minus>
              <c:numRef>
                <c:f>'MLE12 Absolute rates'!$C$49:$D$49</c:f>
                <c:numCache>
                  <c:formatCode>General</c:formatCode>
                  <c:ptCount val="2"/>
                  <c:pt idx="0">
                    <c:v>3.4437315931232431</c:v>
                  </c:pt>
                  <c:pt idx="1">
                    <c:v>0.1656924155818004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'MLE12 Absolute rates'!$C$44:$D$44</c:f>
              <c:strCache>
                <c:ptCount val="2"/>
                <c:pt idx="0">
                  <c:v>Lactate</c:v>
                </c:pt>
                <c:pt idx="1">
                  <c:v>Pyruvate</c:v>
                </c:pt>
              </c:strCache>
            </c:strRef>
          </c:cat>
          <c:val>
            <c:numRef>
              <c:f>'MLE12 Absolute rates'!$C$45:$D$45</c:f>
              <c:numCache>
                <c:formatCode>0.00</c:formatCode>
                <c:ptCount val="2"/>
                <c:pt idx="0">
                  <c:v>40.701172381287492</c:v>
                </c:pt>
                <c:pt idx="1">
                  <c:v>1.9061909672372099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6-4326-8234-B8CE6C724777}"/>
            </c:ext>
          </c:extLst>
        </c:ser>
        <c:ser>
          <c:idx val="1"/>
          <c:order val="1"/>
          <c:tx>
            <c:strRef>
              <c:f>'MLE12 Absolute rates'!$B$46</c:f>
              <c:strCache>
                <c:ptCount val="1"/>
                <c:pt idx="0">
                  <c:v>CR805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'MLE12 Absolute rates'!$C$50:$D$50</c:f>
                <c:numCache>
                  <c:formatCode>General</c:formatCode>
                  <c:ptCount val="2"/>
                  <c:pt idx="0">
                    <c:v>7.2645124475545186</c:v>
                  </c:pt>
                  <c:pt idx="1">
                    <c:v>0.35106863506599606</c:v>
                  </c:pt>
                </c:numCache>
              </c:numRef>
            </c:plus>
            <c:minus>
              <c:numRef>
                <c:f>'MLE12 Absolute rates'!$C$50:$D$50</c:f>
                <c:numCache>
                  <c:formatCode>General</c:formatCode>
                  <c:ptCount val="2"/>
                  <c:pt idx="0">
                    <c:v>7.2645124475545186</c:v>
                  </c:pt>
                  <c:pt idx="1">
                    <c:v>0.35106863506599606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'MLE12 Absolute rates'!$C$44:$D$44</c:f>
              <c:strCache>
                <c:ptCount val="2"/>
                <c:pt idx="0">
                  <c:v>Lactate</c:v>
                </c:pt>
                <c:pt idx="1">
                  <c:v>Pyruvate</c:v>
                </c:pt>
              </c:strCache>
            </c:strRef>
          </c:cat>
          <c:val>
            <c:numRef>
              <c:f>'MLE12 Absolute rates'!$C$46:$D$46</c:f>
              <c:numCache>
                <c:formatCode>0.00</c:formatCode>
                <c:ptCount val="2"/>
                <c:pt idx="0">
                  <c:v>41.175245695941463</c:v>
                </c:pt>
                <c:pt idx="1">
                  <c:v>2.0001963105408396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6-4326-8234-B8CE6C724777}"/>
            </c:ext>
          </c:extLst>
        </c:ser>
        <c:ser>
          <c:idx val="2"/>
          <c:order val="2"/>
          <c:tx>
            <c:strRef>
              <c:f>'MLE12 Absolute rates'!$B$47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'MLE12 Absolute rates'!$C$51:$D$51</c:f>
                <c:numCache>
                  <c:formatCode>General</c:formatCode>
                  <c:ptCount val="2"/>
                </c:numCache>
              </c:numRef>
            </c:plus>
            <c:minus>
              <c:numRef>
                <c:f>'MLE12 Absolute rates'!$C$51:$D$51</c:f>
                <c:numCache>
                  <c:formatCode>General</c:formatCode>
                  <c:ptCount val="2"/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'MLE12 Absolute rates'!$C$44:$D$44</c:f>
              <c:strCache>
                <c:ptCount val="2"/>
                <c:pt idx="0">
                  <c:v>Lactate</c:v>
                </c:pt>
                <c:pt idx="1">
                  <c:v>Pyruvate</c:v>
                </c:pt>
              </c:strCache>
            </c:strRef>
          </c:cat>
          <c:val>
            <c:numRef>
              <c:f>'MLE12 Absolute rates'!$C$47:$D$47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F296-4326-8234-B8CE6C72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2144425448"/>
        <c:axId val="2144428968"/>
      </c:barChart>
      <c:scatterChart>
        <c:scatterStyle val="lineMarker"/>
        <c:varyColors val="0"/>
        <c:ser>
          <c:idx val="3"/>
          <c:order val="3"/>
          <c:tx>
            <c:v>C Lactate dots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'MLE12 Absolute rates'!$S$42:$S$45</c:f>
              <c:numCache>
                <c:formatCode>General</c:formatCode>
                <c:ptCount val="4"/>
                <c:pt idx="0">
                  <c:v>0.77</c:v>
                </c:pt>
                <c:pt idx="1">
                  <c:v>0.77</c:v>
                </c:pt>
                <c:pt idx="2">
                  <c:v>0.77</c:v>
                </c:pt>
                <c:pt idx="3">
                  <c:v>0.77</c:v>
                </c:pt>
              </c:numCache>
            </c:numRef>
          </c:xVal>
          <c:yVal>
            <c:numRef>
              <c:f>'MLE12 Absolute rates'!$C$17:$C$20</c:f>
              <c:numCache>
                <c:formatCode>0.0</c:formatCode>
                <c:ptCount val="4"/>
                <c:pt idx="0">
                  <c:v>37.373217868777473</c:v>
                </c:pt>
                <c:pt idx="1">
                  <c:v>37.677917641294187</c:v>
                </c:pt>
                <c:pt idx="2">
                  <c:v>35.83684461502628</c:v>
                </c:pt>
                <c:pt idx="3">
                  <c:v>35.522158302910952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FF-0840-8369-05DE2A8A9E21}"/>
            </c:ext>
          </c:extLst>
        </c:ser>
        <c:ser>
          <c:idx val="4"/>
          <c:order val="4"/>
          <c:tx>
            <c:v>Cr lactate dots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'MLE12 Absolute rates'!$S$47:$S$49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xVal>
          <c:yVal>
            <c:numRef>
              <c:f>'MLE12 Absolute rates'!$C$36:$C$38</c:f>
              <c:numCache>
                <c:formatCode>0.0000</c:formatCode>
                <c:ptCount val="3"/>
                <c:pt idx="0">
                  <c:v>56.846920493317427</c:v>
                </c:pt>
                <c:pt idx="1">
                  <c:v>26.040223977276106</c:v>
                </c:pt>
                <c:pt idx="2">
                  <c:v>40.638592617230849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FF-0840-8369-05DE2A8A9E21}"/>
            </c:ext>
          </c:extLst>
        </c:ser>
        <c:ser>
          <c:idx val="5"/>
          <c:order val="5"/>
          <c:tx>
            <c:v>C puyruvate dots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'MLE12 Absolute rates'!$T$42:$T$45</c:f>
              <c:numCache>
                <c:formatCode>General</c:formatCode>
                <c:ptCount val="4"/>
                <c:pt idx="0">
                  <c:v>1.77</c:v>
                </c:pt>
                <c:pt idx="1">
                  <c:v>1.77</c:v>
                </c:pt>
                <c:pt idx="2">
                  <c:v>1.77</c:v>
                </c:pt>
                <c:pt idx="3">
                  <c:v>1.77</c:v>
                </c:pt>
              </c:numCache>
            </c:numRef>
          </c:xVal>
          <c:yVal>
            <c:numRef>
              <c:f>'MLE12 Absolute rates'!$D$32:$D$35</c:f>
              <c:numCache>
                <c:formatCode>0.0000</c:formatCode>
                <c:ptCount val="4"/>
                <c:pt idx="0">
                  <c:v>1.4657307979059004</c:v>
                </c:pt>
                <c:pt idx="1">
                  <c:v>2.1865503702604308</c:v>
                </c:pt>
                <c:pt idx="2">
                  <c:v>1.8378751890557559</c:v>
                </c:pt>
                <c:pt idx="3">
                  <c:v>2.1346075117267524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F-0840-8369-05DE2A8A9E21}"/>
            </c:ext>
          </c:extLst>
        </c:ser>
        <c:ser>
          <c:idx val="6"/>
          <c:order val="6"/>
          <c:tx>
            <c:v>CR pyruvate dots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'MLE12 Absolute rates'!$T$47:$T$49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'MLE12 Absolute rates'!$D$36:$D$38</c:f>
              <c:numCache>
                <c:formatCode>0.0000</c:formatCode>
                <c:ptCount val="3"/>
                <c:pt idx="0">
                  <c:v>2.7308770577572488</c:v>
                </c:pt>
                <c:pt idx="1">
                  <c:v>1.2421721282424738</c:v>
                </c:pt>
                <c:pt idx="2">
                  <c:v>2.027539745622795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FF-0840-8369-05DE2A8A9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425448"/>
        <c:axId val="2144428968"/>
      </c:scatterChart>
      <c:catAx>
        <c:axId val="214442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428968"/>
        <c:crosses val="autoZero"/>
        <c:auto val="1"/>
        <c:lblAlgn val="ctr"/>
        <c:lblOffset val="100"/>
        <c:noMultiLvlLbl val="0"/>
      </c:catAx>
      <c:valAx>
        <c:axId val="214442896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42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43869980682095E-2"/>
          <c:y val="5.0925925925925902E-2"/>
          <c:w val="0.87000058843950501"/>
          <c:h val="0.71217729892047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'MLE12 Absolute rates'!$B$45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'MLE12 Absolute rates'!$E$49:$K$49</c:f>
                <c:numCache>
                  <c:formatCode>General</c:formatCode>
                  <c:ptCount val="7"/>
                  <c:pt idx="0">
                    <c:v>1.0141023145263901E-2</c:v>
                  </c:pt>
                  <c:pt idx="1">
                    <c:v>2.8036316362257632E-2</c:v>
                  </c:pt>
                  <c:pt idx="2">
                    <c:v>4.8835537520182638E-2</c:v>
                  </c:pt>
                  <c:pt idx="3">
                    <c:v>8.1923969980047199E-3</c:v>
                  </c:pt>
                  <c:pt idx="4">
                    <c:v>1.0699117038007312E-2</c:v>
                  </c:pt>
                  <c:pt idx="5">
                    <c:v>2.7190139889446484E-2</c:v>
                  </c:pt>
                  <c:pt idx="6">
                    <c:v>1.3863352278382587E-3</c:v>
                  </c:pt>
                </c:numCache>
              </c:numRef>
            </c:plus>
            <c:minus>
              <c:numRef>
                <c:f>'MLE12 Absolute rates'!$E$49:$K$49</c:f>
                <c:numCache>
                  <c:formatCode>General</c:formatCode>
                  <c:ptCount val="7"/>
                  <c:pt idx="0">
                    <c:v>1.0141023145263901E-2</c:v>
                  </c:pt>
                  <c:pt idx="1">
                    <c:v>2.8036316362257632E-2</c:v>
                  </c:pt>
                  <c:pt idx="2">
                    <c:v>4.8835537520182638E-2</c:v>
                  </c:pt>
                  <c:pt idx="3">
                    <c:v>8.1923969980047199E-3</c:v>
                  </c:pt>
                  <c:pt idx="4">
                    <c:v>1.0699117038007312E-2</c:v>
                  </c:pt>
                  <c:pt idx="5">
                    <c:v>2.7190139889446484E-2</c:v>
                  </c:pt>
                  <c:pt idx="6">
                    <c:v>1.3863352278382587E-3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'MLE12 Absolute rates'!$E$44:$K$44</c:f>
              <c:strCache>
                <c:ptCount val="7"/>
                <c:pt idx="0">
                  <c:v>Citrate/Ac-CoA</c:v>
                </c:pt>
                <c:pt idx="1">
                  <c:v>Citrate/OAA</c:v>
                </c:pt>
                <c:pt idx="2">
                  <c:v>AlphaKG</c:v>
                </c:pt>
                <c:pt idx="3">
                  <c:v>Succinate</c:v>
                </c:pt>
                <c:pt idx="4">
                  <c:v>Fumarate</c:v>
                </c:pt>
                <c:pt idx="5">
                  <c:v>Malate</c:v>
                </c:pt>
                <c:pt idx="6">
                  <c:v>OAA (x10)</c:v>
                </c:pt>
              </c:strCache>
            </c:strRef>
          </c:cat>
          <c:val>
            <c:numRef>
              <c:f>'MLE12 Absolute rates'!$E$45:$K$45</c:f>
              <c:numCache>
                <c:formatCode>0.00</c:formatCode>
                <c:ptCount val="7"/>
                <c:pt idx="0">
                  <c:v>9.1697586736797551E-2</c:v>
                </c:pt>
                <c:pt idx="1">
                  <c:v>9.3825134049815323E-2</c:v>
                </c:pt>
                <c:pt idx="2">
                  <c:v>0.18544288205987608</c:v>
                </c:pt>
                <c:pt idx="3">
                  <c:v>2.5483394751225033E-2</c:v>
                </c:pt>
                <c:pt idx="4">
                  <c:v>0.1895704083811689</c:v>
                </c:pt>
                <c:pt idx="5">
                  <c:v>0.41820475285819403</c:v>
                </c:pt>
                <c:pt idx="6" formatCode="0.000">
                  <c:v>2.5788842461264908E-2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3-4916-9438-4DC8AE960D76}"/>
            </c:ext>
          </c:extLst>
        </c:ser>
        <c:ser>
          <c:idx val="1"/>
          <c:order val="1"/>
          <c:tx>
            <c:strRef>
              <c:f>'MLE12 Absolute rates'!$B$46</c:f>
              <c:strCache>
                <c:ptCount val="1"/>
                <c:pt idx="0">
                  <c:v>CR805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'MLE12 Absolute rates'!$E$50:$K$50</c:f>
                <c:numCache>
                  <c:formatCode>General</c:formatCode>
                  <c:ptCount val="7"/>
                  <c:pt idx="0">
                    <c:v>7.3904266780170681E-3</c:v>
                  </c:pt>
                  <c:pt idx="1">
                    <c:v>1.4379756885344833E-2</c:v>
                  </c:pt>
                  <c:pt idx="2">
                    <c:v>2.2662263977013083E-2</c:v>
                  </c:pt>
                  <c:pt idx="3">
                    <c:v>1.8414813607971062E-3</c:v>
                  </c:pt>
                  <c:pt idx="4">
                    <c:v>1.6260507639125264E-2</c:v>
                  </c:pt>
                  <c:pt idx="5">
                    <c:v>4.0218450540743612E-2</c:v>
                  </c:pt>
                  <c:pt idx="6">
                    <c:v>3.7645597778269684E-3</c:v>
                  </c:pt>
                </c:numCache>
              </c:numRef>
            </c:plus>
            <c:minus>
              <c:numRef>
                <c:f>'MLE12 Absolute rates'!$E$50:$K$50</c:f>
                <c:numCache>
                  <c:formatCode>General</c:formatCode>
                  <c:ptCount val="7"/>
                  <c:pt idx="0">
                    <c:v>7.3904266780170681E-3</c:v>
                  </c:pt>
                  <c:pt idx="1">
                    <c:v>1.4379756885344833E-2</c:v>
                  </c:pt>
                  <c:pt idx="2">
                    <c:v>2.2662263977013083E-2</c:v>
                  </c:pt>
                  <c:pt idx="3">
                    <c:v>1.8414813607971062E-3</c:v>
                  </c:pt>
                  <c:pt idx="4">
                    <c:v>1.6260507639125264E-2</c:v>
                  </c:pt>
                  <c:pt idx="5">
                    <c:v>4.0218450540743612E-2</c:v>
                  </c:pt>
                  <c:pt idx="6">
                    <c:v>3.7645597778269684E-3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'MLE12 Absolute rates'!$E$44:$K$44</c:f>
              <c:strCache>
                <c:ptCount val="7"/>
                <c:pt idx="0">
                  <c:v>Citrate/Ac-CoA</c:v>
                </c:pt>
                <c:pt idx="1">
                  <c:v>Citrate/OAA</c:v>
                </c:pt>
                <c:pt idx="2">
                  <c:v>AlphaKG</c:v>
                </c:pt>
                <c:pt idx="3">
                  <c:v>Succinate</c:v>
                </c:pt>
                <c:pt idx="4">
                  <c:v>Fumarate</c:v>
                </c:pt>
                <c:pt idx="5">
                  <c:v>Malate</c:v>
                </c:pt>
                <c:pt idx="6">
                  <c:v>OAA (x10)</c:v>
                </c:pt>
              </c:strCache>
            </c:strRef>
          </c:cat>
          <c:val>
            <c:numRef>
              <c:f>'MLE12 Absolute rates'!$E$46:$K$46</c:f>
              <c:numCache>
                <c:formatCode>0.00</c:formatCode>
                <c:ptCount val="7"/>
                <c:pt idx="0">
                  <c:v>0.15783692210779138</c:v>
                </c:pt>
                <c:pt idx="1">
                  <c:v>0.10199768829893634</c:v>
                </c:pt>
                <c:pt idx="2">
                  <c:v>0.3064741471832686</c:v>
                </c:pt>
                <c:pt idx="3">
                  <c:v>4.0496585219816091E-2</c:v>
                </c:pt>
                <c:pt idx="4">
                  <c:v>0.21754941786066684</c:v>
                </c:pt>
                <c:pt idx="5">
                  <c:v>0.53130597957980552</c:v>
                </c:pt>
                <c:pt idx="6" formatCode="0.000">
                  <c:v>3.464507946177401E-2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3-4916-9438-4DC8AE960D76}"/>
            </c:ext>
          </c:extLst>
        </c:ser>
        <c:ser>
          <c:idx val="2"/>
          <c:order val="2"/>
          <c:tx>
            <c:strRef>
              <c:f>'MLE12 Absolute rates'!$B$47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'MLE12 Absolute rates'!$E$51:$K$51</c:f>
                <c:numCache>
                  <c:formatCode>General</c:formatCode>
                  <c:ptCount val="7"/>
                </c:numCache>
              </c:numRef>
            </c:plus>
            <c:minus>
              <c:numRef>
                <c:f>'MLE12 Absolute rates'!$E$51:$K$51</c:f>
                <c:numCache>
                  <c:formatCode>General</c:formatCode>
                  <c:ptCount val="7"/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'MLE12 Absolute rates'!$E$44:$K$44</c:f>
              <c:strCache>
                <c:ptCount val="7"/>
                <c:pt idx="0">
                  <c:v>Citrate/Ac-CoA</c:v>
                </c:pt>
                <c:pt idx="1">
                  <c:v>Citrate/OAA</c:v>
                </c:pt>
                <c:pt idx="2">
                  <c:v>AlphaKG</c:v>
                </c:pt>
                <c:pt idx="3">
                  <c:v>Succinate</c:v>
                </c:pt>
                <c:pt idx="4">
                  <c:v>Fumarate</c:v>
                </c:pt>
                <c:pt idx="5">
                  <c:v>Malate</c:v>
                </c:pt>
                <c:pt idx="6">
                  <c:v>OAA (x10)</c:v>
                </c:pt>
              </c:strCache>
            </c:strRef>
          </c:cat>
          <c:val>
            <c:numRef>
              <c:f>'MLE12 Absolute rates'!$E$47:$K$47</c:f>
              <c:numCache>
                <c:formatCode>0.00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3913-4916-9438-4DC8AE960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059864"/>
        <c:axId val="2121063432"/>
      </c:barChart>
      <c:scatterChart>
        <c:scatterStyle val="lineMarker"/>
        <c:varyColors val="0"/>
        <c:ser>
          <c:idx val="3"/>
          <c:order val="3"/>
          <c:tx>
            <c:v>dots C Cit/AcCoA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'MLE12 Absolute rates'!$S$42:$S$45</c:f>
              <c:numCache>
                <c:formatCode>General</c:formatCode>
                <c:ptCount val="4"/>
                <c:pt idx="0">
                  <c:v>0.77</c:v>
                </c:pt>
                <c:pt idx="1">
                  <c:v>0.77</c:v>
                </c:pt>
                <c:pt idx="2">
                  <c:v>0.77</c:v>
                </c:pt>
                <c:pt idx="3">
                  <c:v>0.77</c:v>
                </c:pt>
              </c:numCache>
            </c:numRef>
          </c:xVal>
          <c:yVal>
            <c:numRef>
              <c:f>'MLE12 Absolute rates'!$O$32:$O$35</c:f>
              <c:numCache>
                <c:formatCode>0.0000</c:formatCode>
                <c:ptCount val="4"/>
                <c:pt idx="0">
                  <c:v>9.0181615274008461E-2</c:v>
                </c:pt>
                <c:pt idx="1">
                  <c:v>6.4010666065606917E-2</c:v>
                </c:pt>
                <c:pt idx="2">
                  <c:v>0.11070448425455356</c:v>
                </c:pt>
                <c:pt idx="3">
                  <c:v>0.10189358135302125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B-994D-974B-767C653D5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059864"/>
        <c:axId val="2121063432"/>
      </c:scatterChart>
      <c:catAx>
        <c:axId val="2121059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063432"/>
        <c:crosses val="autoZero"/>
        <c:auto val="1"/>
        <c:lblAlgn val="ctr"/>
        <c:lblOffset val="100"/>
        <c:noMultiLvlLbl val="0"/>
      </c:catAx>
      <c:valAx>
        <c:axId val="2121063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Metabolic rate (umols/day)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05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77734033245795"/>
          <c:y val="0.144096675415573"/>
          <c:w val="0.20522272520614032"/>
          <c:h val="6.4771892708726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327394360925E-2"/>
          <c:y val="4.6121593291404597E-2"/>
          <c:w val="0.87957610527724595"/>
          <c:h val="0.81939880156489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'MLE12 Absolute rates'!$B$45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'MLE12 Absolute rates'!$L$49:$O$49</c:f>
                <c:numCache>
                  <c:formatCode>General</c:formatCode>
                  <c:ptCount val="4"/>
                  <c:pt idx="0">
                    <c:v>0.25794497877165007</c:v>
                  </c:pt>
                  <c:pt idx="1">
                    <c:v>7.2573909184017057E-2</c:v>
                  </c:pt>
                  <c:pt idx="2">
                    <c:v>0.25820101738144652</c:v>
                  </c:pt>
                  <c:pt idx="3">
                    <c:v>7.3183924203329864E-2</c:v>
                  </c:pt>
                </c:numCache>
              </c:numRef>
            </c:plus>
            <c:minus>
              <c:numRef>
                <c:f>'MLE12 Absolute rates'!$L$49:$O$49</c:f>
                <c:numCache>
                  <c:formatCode>General</c:formatCode>
                  <c:ptCount val="4"/>
                  <c:pt idx="0">
                    <c:v>0.25794497877165007</c:v>
                  </c:pt>
                  <c:pt idx="1">
                    <c:v>7.2573909184017057E-2</c:v>
                  </c:pt>
                  <c:pt idx="2">
                    <c:v>0.25820101738144652</c:v>
                  </c:pt>
                  <c:pt idx="3">
                    <c:v>7.3183924203329864E-2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'MLE12 Absolute rates'!$L$44:$O$44</c:f>
              <c:strCache>
                <c:ptCount val="4"/>
                <c:pt idx="0">
                  <c:v>Alanine</c:v>
                </c:pt>
                <c:pt idx="1">
                  <c:v>Aspartate (x10)</c:v>
                </c:pt>
                <c:pt idx="2">
                  <c:v>Glutamate</c:v>
                </c:pt>
                <c:pt idx="3">
                  <c:v>Serine</c:v>
                </c:pt>
              </c:strCache>
            </c:strRef>
          </c:cat>
          <c:val>
            <c:numRef>
              <c:f>'MLE12 Absolute rates'!$L$45:$O$45</c:f>
              <c:numCache>
                <c:formatCode>0.00</c:formatCode>
                <c:ptCount val="4"/>
                <c:pt idx="0">
                  <c:v>4.6396532712361447</c:v>
                </c:pt>
                <c:pt idx="1">
                  <c:v>0.72838212212885345</c:v>
                </c:pt>
                <c:pt idx="2">
                  <c:v>1.695499955064447</c:v>
                </c:pt>
                <c:pt idx="3">
                  <c:v>1.1466233401904788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A-4D44-8EB4-0760BA0D7CB2}"/>
            </c:ext>
          </c:extLst>
        </c:ser>
        <c:ser>
          <c:idx val="1"/>
          <c:order val="1"/>
          <c:tx>
            <c:strRef>
              <c:f>'MLE12 Absolute rates'!$B$46</c:f>
              <c:strCache>
                <c:ptCount val="1"/>
                <c:pt idx="0">
                  <c:v>CR805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'MLE12 Absolute rates'!$L$50:$O$50</c:f>
                <c:numCache>
                  <c:formatCode>General</c:formatCode>
                  <c:ptCount val="4"/>
                  <c:pt idx="0">
                    <c:v>0.42527992756622418</c:v>
                  </c:pt>
                  <c:pt idx="1">
                    <c:v>9.2651262360032766E-2</c:v>
                  </c:pt>
                  <c:pt idx="2">
                    <c:v>0.14280389519379991</c:v>
                  </c:pt>
                  <c:pt idx="3">
                    <c:v>0.1091855598739626</c:v>
                  </c:pt>
                </c:numCache>
              </c:numRef>
            </c:plus>
            <c:minus>
              <c:numRef>
                <c:f>'MLE12 Absolute rates'!$L$50:$O$50</c:f>
                <c:numCache>
                  <c:formatCode>General</c:formatCode>
                  <c:ptCount val="4"/>
                  <c:pt idx="0">
                    <c:v>0.42527992756622418</c:v>
                  </c:pt>
                  <c:pt idx="1">
                    <c:v>9.2651262360032766E-2</c:v>
                  </c:pt>
                  <c:pt idx="2">
                    <c:v>0.14280389519379991</c:v>
                  </c:pt>
                  <c:pt idx="3">
                    <c:v>0.1091855598739626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'MLE12 Absolute rates'!$L$44:$O$44</c:f>
              <c:strCache>
                <c:ptCount val="4"/>
                <c:pt idx="0">
                  <c:v>Alanine</c:v>
                </c:pt>
                <c:pt idx="1">
                  <c:v>Aspartate (x10)</c:v>
                </c:pt>
                <c:pt idx="2">
                  <c:v>Glutamate</c:v>
                </c:pt>
                <c:pt idx="3">
                  <c:v>Serine</c:v>
                </c:pt>
              </c:strCache>
            </c:strRef>
          </c:cat>
          <c:val>
            <c:numRef>
              <c:f>'MLE12 Absolute rates'!$L$46:$O$46</c:f>
              <c:numCache>
                <c:formatCode>0.00</c:formatCode>
                <c:ptCount val="4"/>
                <c:pt idx="0">
                  <c:v>5.0993279798262909</c:v>
                </c:pt>
                <c:pt idx="1">
                  <c:v>0.94018013909815845</c:v>
                </c:pt>
                <c:pt idx="2">
                  <c:v>2.1538748249437725</c:v>
                </c:pt>
                <c:pt idx="3">
                  <c:v>1.3409178016082635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A-4D44-8EB4-0760BA0D7CB2}"/>
            </c:ext>
          </c:extLst>
        </c:ser>
        <c:ser>
          <c:idx val="2"/>
          <c:order val="2"/>
          <c:tx>
            <c:strRef>
              <c:f>'MLE12 Absolute rates'!$B$47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'MLE12 Absolute rates'!$L$51:$O$51</c:f>
                <c:numCache>
                  <c:formatCode>General</c:formatCode>
                  <c:ptCount val="4"/>
                </c:numCache>
              </c:numRef>
            </c:plus>
            <c:minus>
              <c:numRef>
                <c:f>'MLE12 Absolute rates'!$L$51:$O$51</c:f>
                <c:numCache>
                  <c:formatCode>General</c:formatCode>
                  <c:ptCount val="4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'MLE12 Absolute rates'!$L$44:$O$44</c:f>
              <c:strCache>
                <c:ptCount val="4"/>
                <c:pt idx="0">
                  <c:v>Alanine</c:v>
                </c:pt>
                <c:pt idx="1">
                  <c:v>Aspartate (x10)</c:v>
                </c:pt>
                <c:pt idx="2">
                  <c:v>Glutamate</c:v>
                </c:pt>
                <c:pt idx="3">
                  <c:v>Serine</c:v>
                </c:pt>
              </c:strCache>
            </c:strRef>
          </c:cat>
          <c:val>
            <c:numRef>
              <c:f>'MLE12 Absolute rates'!$L$47:$O$47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E7A-4D44-8EB4-0760BA0D7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550792"/>
        <c:axId val="2120878392"/>
      </c:barChart>
      <c:catAx>
        <c:axId val="212055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878392"/>
        <c:crosses val="autoZero"/>
        <c:auto val="1"/>
        <c:lblAlgn val="ctr"/>
        <c:lblOffset val="100"/>
        <c:noMultiLvlLbl val="0"/>
      </c:catAx>
      <c:valAx>
        <c:axId val="2120878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Metabolic rate (µmols/day)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55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116059498612799"/>
          <c:y val="0.103248980669869"/>
          <c:w val="0.198099211237316"/>
          <c:h val="0.19234850360686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'MLE12 Glucose Standard curve'!$O$7:$O$14</c:f>
              <c:numCache>
                <c:formatCode>General</c:formatCode>
                <c:ptCount val="8"/>
                <c:pt idx="0">
                  <c:v>0.82376517741365085</c:v>
                </c:pt>
                <c:pt idx="1">
                  <c:v>0.4135744164080421</c:v>
                </c:pt>
                <c:pt idx="2">
                  <c:v>0.21554530656538254</c:v>
                </c:pt>
                <c:pt idx="3">
                  <c:v>0.12033195020746888</c:v>
                </c:pt>
                <c:pt idx="4">
                  <c:v>7.2690323589182426E-2</c:v>
                </c:pt>
                <c:pt idx="5">
                  <c:v>4.6969435330685545E-2</c:v>
                </c:pt>
                <c:pt idx="6">
                  <c:v>3.9587491683300065E-2</c:v>
                </c:pt>
                <c:pt idx="7">
                  <c:v>3.7103746397694523E-2</c:v>
                </c:pt>
              </c:numCache>
            </c:numRef>
          </c:xVal>
          <c:yVal>
            <c:numRef>
              <c:f>'MLE12 Glucose Standard curve'!$P$7:$P$14</c:f>
              <c:numCache>
                <c:formatCode>General</c:formatCode>
                <c:ptCount val="8"/>
                <c:pt idx="0">
                  <c:v>5</c:v>
                </c:pt>
                <c:pt idx="1">
                  <c:v>2.5</c:v>
                </c:pt>
                <c:pt idx="2">
                  <c:v>1.25</c:v>
                </c:pt>
                <c:pt idx="3">
                  <c:v>0.625</c:v>
                </c:pt>
                <c:pt idx="4">
                  <c:v>0.3125</c:v>
                </c:pt>
                <c:pt idx="5">
                  <c:v>0.15625</c:v>
                </c:pt>
                <c:pt idx="6">
                  <c:v>7.8125E-2</c:v>
                </c:pt>
                <c:pt idx="7">
                  <c:v>3.90625E-2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A3-4366-85B7-35AAD820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851800"/>
        <c:axId val="2121857464"/>
      </c:scatterChart>
      <c:valAx>
        <c:axId val="212185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857464"/>
        <c:crosses val="autoZero"/>
        <c:crossBetween val="midCat"/>
      </c:valAx>
      <c:valAx>
        <c:axId val="2121857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851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538283</xdr:colOff>
      <xdr:row>22</xdr:row>
      <xdr:rowOff>10747</xdr:rowOff>
    </xdr:from>
    <xdr:to>
      <xdr:col>21</xdr:col>
      <xdr:colOff>89876</xdr:colOff>
      <xdr:row>35</xdr:row>
      <xdr:rowOff>164123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327270</xdr:colOff>
      <xdr:row>22</xdr:row>
      <xdr:rowOff>33215</xdr:rowOff>
    </xdr:from>
    <xdr:to>
      <xdr:col>29</xdr:col>
      <xdr:colOff>325929</xdr:colOff>
      <xdr:row>39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90170</xdr:colOff>
      <xdr:row>22</xdr:row>
      <xdr:rowOff>52070</xdr:rowOff>
    </xdr:from>
    <xdr:to>
      <xdr:col>36</xdr:col>
      <xdr:colOff>231140</xdr:colOff>
      <xdr:row>38</xdr:row>
      <xdr:rowOff>129540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598170</xdr:colOff>
      <xdr:row>16</xdr:row>
      <xdr:rowOff>125730</xdr:rowOff>
    </xdr:from>
    <xdr:to>
      <xdr:col>17</xdr:col>
      <xdr:colOff>293370</xdr:colOff>
      <xdr:row>31</xdr:row>
      <xdr:rowOff>125730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"/>
  <sheetViews>
    <sheetView tabSelected="1" zoomScale="64" zoomScaleNormal="39" workbookViewId="0">
      <pane xSplit="2" topLeftCell="C1" activePane="topRight" state="frozen"/>
      <selection pane="topRight"/>
    </sheetView>
  </sheetViews>
  <sheetFormatPr baseColWidth="10" defaultColWidth="8.83203125" defaultRowHeight="15" x14ac:dyDescent="0.2"/>
  <cols>
    <col min="2" max="2" width="18.33203125" customWidth="1"/>
    <col min="3" max="12" width="16.1640625" bestFit="1" customWidth="1"/>
    <col min="13" max="13" width="12.83203125" bestFit="1" customWidth="1"/>
    <col min="14" max="14" width="16.1640625" bestFit="1" customWidth="1"/>
    <col min="15" max="15" width="12.6640625" bestFit="1" customWidth="1"/>
    <col min="16" max="16" width="16.1640625" bestFit="1" customWidth="1"/>
    <col min="17" max="17" width="13.5" bestFit="1" customWidth="1"/>
    <col min="18" max="18" width="16.1640625" bestFit="1" customWidth="1"/>
    <col min="19" max="19" width="12.33203125" bestFit="1" customWidth="1"/>
    <col min="20" max="21" width="16.1640625" bestFit="1" customWidth="1"/>
    <col min="22" max="22" width="12.6640625" bestFit="1" customWidth="1"/>
    <col min="23" max="23" width="12" bestFit="1" customWidth="1"/>
    <col min="24" max="24" width="12.6640625" bestFit="1" customWidth="1"/>
    <col min="25" max="27" width="11.5" bestFit="1" customWidth="1"/>
    <col min="28" max="30" width="10.6640625" bestFit="1" customWidth="1"/>
    <col min="31" max="34" width="10.1640625" bestFit="1" customWidth="1"/>
    <col min="35" max="35" width="13.1640625" bestFit="1" customWidth="1"/>
    <col min="36" max="36" width="9.33203125" bestFit="1" customWidth="1"/>
  </cols>
  <sheetData>
    <row r="1" spans="1:49" ht="16" thickBot="1" x14ac:dyDescent="0.25">
      <c r="A1" t="s">
        <v>118</v>
      </c>
    </row>
    <row r="2" spans="1:49" ht="16" thickBot="1" x14ac:dyDescent="0.25">
      <c r="A2" s="5"/>
      <c r="B2" s="75">
        <v>43066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3"/>
    </row>
    <row r="3" spans="1:49" ht="16" thickBot="1" x14ac:dyDescent="0.25">
      <c r="A3" s="5"/>
      <c r="B3" s="6"/>
      <c r="C3" s="6">
        <v>11.801</v>
      </c>
      <c r="D3" s="6"/>
      <c r="E3" s="6"/>
      <c r="F3" s="6">
        <v>12.766999999999999</v>
      </c>
      <c r="G3" s="6"/>
      <c r="H3" s="6">
        <v>16.690999999999999</v>
      </c>
      <c r="I3" s="6"/>
      <c r="J3" s="6"/>
      <c r="K3" s="6">
        <v>17.09</v>
      </c>
      <c r="L3" s="6"/>
      <c r="M3" s="6"/>
      <c r="N3" s="6"/>
      <c r="O3" s="6">
        <v>19.725999999999999</v>
      </c>
      <c r="P3" s="6"/>
      <c r="Q3" s="6">
        <v>21.013999999999999</v>
      </c>
      <c r="R3" s="6"/>
      <c r="S3" s="6"/>
      <c r="T3" s="6">
        <v>21.484999999999999</v>
      </c>
      <c r="U3" s="6"/>
      <c r="V3" s="6"/>
      <c r="W3" s="6">
        <v>22.047999999999998</v>
      </c>
      <c r="X3" s="6"/>
      <c r="Y3" s="6"/>
      <c r="Z3" s="6">
        <v>22.597999999999999</v>
      </c>
      <c r="AA3" s="6"/>
      <c r="AB3" s="6"/>
      <c r="AC3" s="6">
        <v>25.497</v>
      </c>
      <c r="AD3" s="6"/>
      <c r="AE3" s="6"/>
      <c r="AF3" s="6"/>
      <c r="AG3" s="6"/>
      <c r="AH3" s="63">
        <v>23.530999999999999</v>
      </c>
    </row>
    <row r="4" spans="1:49" ht="16" thickBot="1" x14ac:dyDescent="0.25">
      <c r="A4" s="5"/>
      <c r="B4" s="6"/>
      <c r="C4" s="50" t="s">
        <v>7</v>
      </c>
      <c r="D4" s="50" t="s">
        <v>8</v>
      </c>
      <c r="E4" s="50" t="s">
        <v>9</v>
      </c>
      <c r="F4" s="50" t="s">
        <v>10</v>
      </c>
      <c r="G4" s="50" t="s">
        <v>11</v>
      </c>
      <c r="H4" s="50" t="s">
        <v>12</v>
      </c>
      <c r="I4" s="50" t="s">
        <v>13</v>
      </c>
      <c r="J4" s="50" t="s">
        <v>14</v>
      </c>
      <c r="K4" s="50" t="s">
        <v>15</v>
      </c>
      <c r="L4" s="50" t="s">
        <v>16</v>
      </c>
      <c r="M4" s="50" t="s">
        <v>17</v>
      </c>
      <c r="N4" s="50" t="s">
        <v>18</v>
      </c>
      <c r="O4" s="50" t="s">
        <v>19</v>
      </c>
      <c r="P4" s="50" t="s">
        <v>20</v>
      </c>
      <c r="Q4" s="50" t="s">
        <v>21</v>
      </c>
      <c r="R4" s="50" t="s">
        <v>22</v>
      </c>
      <c r="S4" s="50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15" t="s">
        <v>32</v>
      </c>
      <c r="AC4" s="15" t="s">
        <v>33</v>
      </c>
      <c r="AD4" s="15" t="s">
        <v>34</v>
      </c>
      <c r="AE4" s="15" t="s">
        <v>35</v>
      </c>
      <c r="AF4" s="15" t="s">
        <v>36</v>
      </c>
      <c r="AG4" s="15" t="s">
        <v>37</v>
      </c>
      <c r="AH4" s="109"/>
      <c r="AM4" s="13"/>
      <c r="AN4" s="181" t="s">
        <v>38</v>
      </c>
      <c r="AO4" s="181"/>
      <c r="AP4" s="181"/>
      <c r="AQ4" s="181"/>
      <c r="AR4" s="181"/>
      <c r="AS4" s="181"/>
      <c r="AT4" s="181"/>
      <c r="AU4" s="181"/>
      <c r="AV4" s="181"/>
      <c r="AW4" s="182"/>
    </row>
    <row r="5" spans="1:49" ht="16" thickTop="1" x14ac:dyDescent="0.2">
      <c r="A5" s="20"/>
      <c r="B5" s="21"/>
      <c r="C5" s="21">
        <v>261</v>
      </c>
      <c r="D5" s="21">
        <v>264</v>
      </c>
      <c r="E5" s="21">
        <v>265</v>
      </c>
      <c r="F5" s="21">
        <v>260</v>
      </c>
      <c r="G5" s="21">
        <v>263</v>
      </c>
      <c r="H5" s="21">
        <v>289</v>
      </c>
      <c r="I5" s="21">
        <v>291</v>
      </c>
      <c r="J5" s="21">
        <v>293</v>
      </c>
      <c r="K5" s="64">
        <v>287</v>
      </c>
      <c r="L5" s="64">
        <v>289</v>
      </c>
      <c r="M5" s="64">
        <v>290</v>
      </c>
      <c r="N5" s="64">
        <v>291</v>
      </c>
      <c r="O5" s="64">
        <v>390</v>
      </c>
      <c r="P5" s="64">
        <v>393</v>
      </c>
      <c r="Q5" s="64">
        <v>419</v>
      </c>
      <c r="R5" s="64">
        <v>423</v>
      </c>
      <c r="S5" s="64">
        <v>424</v>
      </c>
      <c r="T5" s="64">
        <v>418</v>
      </c>
      <c r="U5" s="64">
        <v>420</v>
      </c>
      <c r="V5" s="64">
        <v>422</v>
      </c>
      <c r="W5" s="64">
        <v>434</v>
      </c>
      <c r="X5" s="64">
        <v>436</v>
      </c>
      <c r="Y5" s="64">
        <v>438</v>
      </c>
      <c r="Z5" s="64">
        <v>432</v>
      </c>
      <c r="AA5" s="64">
        <v>434</v>
      </c>
      <c r="AB5" s="64">
        <v>436</v>
      </c>
      <c r="AC5" s="64">
        <v>459</v>
      </c>
      <c r="AD5" s="64">
        <v>460</v>
      </c>
      <c r="AE5" s="64">
        <v>461</v>
      </c>
      <c r="AF5" s="64">
        <v>462</v>
      </c>
      <c r="AG5" s="64">
        <v>464</v>
      </c>
      <c r="AH5" s="65">
        <v>327</v>
      </c>
      <c r="AM5" s="20"/>
      <c r="AN5" s="21"/>
      <c r="AO5" s="21">
        <v>200</v>
      </c>
      <c r="AP5" s="21">
        <v>201</v>
      </c>
      <c r="AQ5" s="21">
        <v>205</v>
      </c>
      <c r="AR5" s="21">
        <v>242</v>
      </c>
      <c r="AS5" s="21">
        <v>243</v>
      </c>
      <c r="AT5" s="21">
        <v>247</v>
      </c>
      <c r="AU5" s="21">
        <v>331</v>
      </c>
      <c r="AV5" s="21">
        <v>332</v>
      </c>
      <c r="AW5" s="31">
        <v>337</v>
      </c>
    </row>
    <row r="6" spans="1:49" x14ac:dyDescent="0.2">
      <c r="A6" s="60" t="s">
        <v>63</v>
      </c>
      <c r="B6" s="59" t="s">
        <v>0</v>
      </c>
      <c r="C6" s="59">
        <v>1709798</v>
      </c>
      <c r="D6" s="59">
        <v>1005389</v>
      </c>
      <c r="E6" s="59">
        <v>240006</v>
      </c>
      <c r="F6" s="59">
        <v>238666</v>
      </c>
      <c r="G6" s="59">
        <v>139393</v>
      </c>
      <c r="H6" s="59">
        <v>128029</v>
      </c>
      <c r="I6" s="59">
        <v>14601</v>
      </c>
      <c r="J6" s="59">
        <v>861</v>
      </c>
      <c r="K6" s="59">
        <v>186921</v>
      </c>
      <c r="L6" s="59">
        <v>24995</v>
      </c>
      <c r="M6" s="59">
        <v>19532</v>
      </c>
      <c r="N6" s="59">
        <v>4425</v>
      </c>
      <c r="O6" s="59">
        <v>395360</v>
      </c>
      <c r="P6" s="59">
        <v>39748</v>
      </c>
      <c r="Q6" s="59">
        <v>287620</v>
      </c>
      <c r="R6" s="59">
        <v>11879</v>
      </c>
      <c r="S6" s="59">
        <v>4336</v>
      </c>
      <c r="T6" s="59">
        <v>88615</v>
      </c>
      <c r="U6" s="59">
        <v>16968</v>
      </c>
      <c r="V6" s="59">
        <v>2236</v>
      </c>
      <c r="W6" s="59">
        <v>399535</v>
      </c>
      <c r="X6" s="59">
        <v>83219</v>
      </c>
      <c r="Y6" s="59">
        <v>7692</v>
      </c>
      <c r="Z6" s="59">
        <v>1932402</v>
      </c>
      <c r="AA6" s="59">
        <v>399205</v>
      </c>
      <c r="AB6" s="59">
        <v>49034</v>
      </c>
      <c r="AC6" s="59">
        <v>36630</v>
      </c>
      <c r="AD6" s="59">
        <v>15022</v>
      </c>
      <c r="AE6" s="59">
        <v>10847</v>
      </c>
      <c r="AF6" s="59">
        <v>5140</v>
      </c>
      <c r="AG6" s="66" t="s">
        <v>50</v>
      </c>
      <c r="AH6" s="67">
        <v>20731188</v>
      </c>
      <c r="AM6" s="60" t="s">
        <v>63</v>
      </c>
      <c r="AN6" s="21" t="s">
        <v>0</v>
      </c>
      <c r="AO6" s="21">
        <v>228979</v>
      </c>
      <c r="AP6" s="21">
        <v>57305</v>
      </c>
      <c r="AQ6" s="21">
        <v>185694</v>
      </c>
      <c r="AR6" s="21">
        <v>136523</v>
      </c>
      <c r="AS6" s="21">
        <v>42350</v>
      </c>
      <c r="AT6" s="21">
        <v>125803</v>
      </c>
      <c r="AU6" s="21">
        <v>21479</v>
      </c>
      <c r="AV6" s="21">
        <v>6706</v>
      </c>
      <c r="AW6" s="31">
        <v>19500</v>
      </c>
    </row>
    <row r="7" spans="1:49" x14ac:dyDescent="0.2">
      <c r="A7" s="60" t="s">
        <v>64</v>
      </c>
      <c r="B7" s="59" t="s">
        <v>1</v>
      </c>
      <c r="C7" s="59">
        <v>2353747</v>
      </c>
      <c r="D7" s="59">
        <v>1402563</v>
      </c>
      <c r="E7" s="59">
        <v>337513</v>
      </c>
      <c r="F7" s="59">
        <v>244586</v>
      </c>
      <c r="G7" s="59">
        <v>130296</v>
      </c>
      <c r="H7" s="59">
        <v>143172</v>
      </c>
      <c r="I7" s="59">
        <v>15226</v>
      </c>
      <c r="J7" s="59">
        <v>638</v>
      </c>
      <c r="K7" s="59">
        <v>137191</v>
      </c>
      <c r="L7" s="59">
        <v>17312</v>
      </c>
      <c r="M7" s="59">
        <v>14026</v>
      </c>
      <c r="N7" s="59">
        <v>3751</v>
      </c>
      <c r="O7" s="59">
        <v>544539</v>
      </c>
      <c r="P7" s="59">
        <v>41496</v>
      </c>
      <c r="Q7" s="59">
        <v>224428</v>
      </c>
      <c r="R7" s="59">
        <v>9740</v>
      </c>
      <c r="S7" s="59">
        <v>3584</v>
      </c>
      <c r="T7" s="59">
        <v>130401</v>
      </c>
      <c r="U7" s="59">
        <v>23108</v>
      </c>
      <c r="V7" s="59">
        <v>2334</v>
      </c>
      <c r="W7" s="59">
        <v>344116</v>
      </c>
      <c r="X7" s="59">
        <v>68876</v>
      </c>
      <c r="Y7" s="59">
        <v>5546</v>
      </c>
      <c r="Z7" s="59">
        <v>1751264</v>
      </c>
      <c r="AA7" s="59">
        <v>349831</v>
      </c>
      <c r="AB7" s="59">
        <v>40337</v>
      </c>
      <c r="AC7" s="59">
        <v>28692</v>
      </c>
      <c r="AD7" s="59">
        <v>8936</v>
      </c>
      <c r="AE7" s="59">
        <v>8196</v>
      </c>
      <c r="AF7" s="59">
        <v>2815</v>
      </c>
      <c r="AG7" s="59"/>
      <c r="AH7" s="67">
        <v>19907460</v>
      </c>
      <c r="AM7" s="60" t="s">
        <v>64</v>
      </c>
      <c r="AN7" s="21" t="s">
        <v>1</v>
      </c>
      <c r="AO7" s="21">
        <v>216758</v>
      </c>
      <c r="AP7" s="21">
        <v>57646</v>
      </c>
      <c r="AQ7" s="21">
        <v>175069</v>
      </c>
      <c r="AR7" s="21">
        <v>129512</v>
      </c>
      <c r="AS7" s="21">
        <v>42566</v>
      </c>
      <c r="AT7" s="21">
        <v>119693</v>
      </c>
      <c r="AU7" s="21">
        <v>20802</v>
      </c>
      <c r="AV7" s="21">
        <v>6871</v>
      </c>
      <c r="AW7" s="31">
        <v>18906</v>
      </c>
    </row>
    <row r="8" spans="1:49" x14ac:dyDescent="0.2">
      <c r="A8" s="60" t="s">
        <v>65</v>
      </c>
      <c r="B8" s="59" t="s">
        <v>2</v>
      </c>
      <c r="C8" s="59">
        <v>2283530</v>
      </c>
      <c r="D8" s="59">
        <v>1259095</v>
      </c>
      <c r="E8" s="59">
        <v>302690</v>
      </c>
      <c r="F8" s="59">
        <v>262814</v>
      </c>
      <c r="G8" s="59">
        <v>137761</v>
      </c>
      <c r="H8" s="59">
        <v>167369</v>
      </c>
      <c r="I8" s="59">
        <v>17790</v>
      </c>
      <c r="J8" s="59">
        <v>859</v>
      </c>
      <c r="K8" s="59">
        <v>172602</v>
      </c>
      <c r="L8" s="59">
        <v>22079</v>
      </c>
      <c r="M8" s="59">
        <v>17093</v>
      </c>
      <c r="N8" s="59">
        <v>3952</v>
      </c>
      <c r="O8" s="59">
        <v>452516</v>
      </c>
      <c r="P8" s="59">
        <v>36004</v>
      </c>
      <c r="Q8" s="59">
        <v>229743</v>
      </c>
      <c r="R8" s="59">
        <v>9694</v>
      </c>
      <c r="S8" s="59">
        <v>3333</v>
      </c>
      <c r="T8" s="59">
        <v>118330</v>
      </c>
      <c r="U8" s="59">
        <v>23471</v>
      </c>
      <c r="V8" s="59">
        <v>2779</v>
      </c>
      <c r="W8" s="59">
        <v>374820</v>
      </c>
      <c r="X8" s="59">
        <v>75555</v>
      </c>
      <c r="Y8" s="59">
        <v>6625</v>
      </c>
      <c r="Z8" s="59">
        <v>1871973</v>
      </c>
      <c r="AA8" s="59">
        <v>382973</v>
      </c>
      <c r="AB8" s="59">
        <v>55494</v>
      </c>
      <c r="AC8" s="59">
        <v>39985</v>
      </c>
      <c r="AD8" s="59">
        <v>17337</v>
      </c>
      <c r="AE8" s="59">
        <v>12084</v>
      </c>
      <c r="AF8" s="59">
        <v>4886</v>
      </c>
      <c r="AG8" s="59"/>
      <c r="AH8" s="67">
        <v>19818545</v>
      </c>
      <c r="AM8" s="60" t="s">
        <v>65</v>
      </c>
      <c r="AN8" s="21" t="s">
        <v>2</v>
      </c>
      <c r="AO8" s="21">
        <v>229429</v>
      </c>
      <c r="AP8" s="21">
        <v>59797</v>
      </c>
      <c r="AQ8" s="21">
        <v>185143</v>
      </c>
      <c r="AR8" s="21">
        <v>139245</v>
      </c>
      <c r="AS8" s="21">
        <v>44385</v>
      </c>
      <c r="AT8" s="21">
        <v>128333</v>
      </c>
      <c r="AU8" s="21">
        <v>22163</v>
      </c>
      <c r="AV8" s="21">
        <v>7247</v>
      </c>
      <c r="AW8" s="31">
        <v>20093</v>
      </c>
    </row>
    <row r="9" spans="1:49" x14ac:dyDescent="0.2">
      <c r="A9" s="60" t="s">
        <v>66</v>
      </c>
      <c r="B9" s="59" t="s">
        <v>3</v>
      </c>
      <c r="C9" s="59">
        <v>2764242</v>
      </c>
      <c r="D9" s="59">
        <v>1535615</v>
      </c>
      <c r="E9" s="59">
        <v>374921</v>
      </c>
      <c r="F9" s="59">
        <v>351223</v>
      </c>
      <c r="G9" s="59">
        <v>172230</v>
      </c>
      <c r="H9" s="59">
        <v>250624</v>
      </c>
      <c r="I9" s="59">
        <v>29328</v>
      </c>
      <c r="J9" s="59">
        <v>1766</v>
      </c>
      <c r="K9" s="59">
        <v>245588</v>
      </c>
      <c r="L9" s="59">
        <v>36628</v>
      </c>
      <c r="M9" s="59">
        <v>22623</v>
      </c>
      <c r="N9" s="59">
        <v>5349</v>
      </c>
      <c r="O9" s="59">
        <v>699465</v>
      </c>
      <c r="P9" s="59">
        <v>54092</v>
      </c>
      <c r="Q9" s="59">
        <v>369467</v>
      </c>
      <c r="R9" s="59">
        <v>14162</v>
      </c>
      <c r="S9" s="59">
        <v>4719</v>
      </c>
      <c r="T9" s="59">
        <v>198394</v>
      </c>
      <c r="U9" s="59">
        <v>38382</v>
      </c>
      <c r="V9" s="59">
        <v>3730</v>
      </c>
      <c r="W9" s="59">
        <v>431379</v>
      </c>
      <c r="X9" s="59">
        <v>100261</v>
      </c>
      <c r="Y9" s="59">
        <v>11394</v>
      </c>
      <c r="Z9" s="59">
        <v>2417198</v>
      </c>
      <c r="AA9" s="59">
        <v>565672</v>
      </c>
      <c r="AB9" s="59">
        <v>74476</v>
      </c>
      <c r="AC9" s="59">
        <v>29419</v>
      </c>
      <c r="AD9" s="59">
        <v>14178</v>
      </c>
      <c r="AE9" s="59">
        <v>9857</v>
      </c>
      <c r="AF9" s="59">
        <v>2023</v>
      </c>
      <c r="AG9" s="59"/>
      <c r="AH9" s="67">
        <v>21280778</v>
      </c>
      <c r="AM9" s="60" t="s">
        <v>66</v>
      </c>
      <c r="AN9" s="21" t="s">
        <v>3</v>
      </c>
      <c r="AO9" s="21">
        <v>186362</v>
      </c>
      <c r="AP9" s="21">
        <v>51647</v>
      </c>
      <c r="AQ9" s="21">
        <v>152129</v>
      </c>
      <c r="AR9" s="21">
        <v>107981</v>
      </c>
      <c r="AS9" s="21">
        <v>36942</v>
      </c>
      <c r="AT9" s="21">
        <v>102342</v>
      </c>
      <c r="AU9" s="21">
        <v>17120</v>
      </c>
      <c r="AV9" s="21">
        <v>5825</v>
      </c>
      <c r="AW9" s="31">
        <v>15939</v>
      </c>
    </row>
    <row r="10" spans="1:49" x14ac:dyDescent="0.2">
      <c r="A10" s="61" t="s">
        <v>83</v>
      </c>
      <c r="B10" s="58" t="s">
        <v>4</v>
      </c>
      <c r="C10" s="58">
        <v>3440320</v>
      </c>
      <c r="D10" s="58">
        <v>1978647</v>
      </c>
      <c r="E10" s="58">
        <v>481801</v>
      </c>
      <c r="F10" s="58">
        <v>353148</v>
      </c>
      <c r="G10" s="58">
        <v>185089</v>
      </c>
      <c r="H10" s="58">
        <v>240535</v>
      </c>
      <c r="I10" s="58">
        <v>28499</v>
      </c>
      <c r="J10" s="58">
        <v>1659</v>
      </c>
      <c r="K10" s="58">
        <v>271907</v>
      </c>
      <c r="L10" s="58">
        <v>40690</v>
      </c>
      <c r="M10" s="58">
        <v>23723</v>
      </c>
      <c r="N10" s="58">
        <v>6233</v>
      </c>
      <c r="O10" s="58">
        <v>779510</v>
      </c>
      <c r="P10" s="58">
        <v>61560</v>
      </c>
      <c r="Q10" s="58">
        <v>361266</v>
      </c>
      <c r="R10" s="58">
        <v>14865</v>
      </c>
      <c r="S10" s="58">
        <v>5930</v>
      </c>
      <c r="T10" s="58">
        <v>217785</v>
      </c>
      <c r="U10" s="58">
        <v>39189</v>
      </c>
      <c r="V10" s="58">
        <v>4152</v>
      </c>
      <c r="W10" s="58">
        <v>430724</v>
      </c>
      <c r="X10" s="58">
        <v>98773</v>
      </c>
      <c r="Y10" s="58">
        <v>10539</v>
      </c>
      <c r="Z10" s="58">
        <v>2602271</v>
      </c>
      <c r="AA10" s="58">
        <v>592449</v>
      </c>
      <c r="AB10" s="58">
        <v>77065</v>
      </c>
      <c r="AC10" s="58">
        <v>49606</v>
      </c>
      <c r="AD10" s="58">
        <v>16737</v>
      </c>
      <c r="AE10" s="58">
        <v>16787</v>
      </c>
      <c r="AF10" s="58">
        <v>3943</v>
      </c>
      <c r="AG10" s="58"/>
      <c r="AH10" s="68">
        <v>22226980</v>
      </c>
      <c r="AM10" s="62" t="s">
        <v>83</v>
      </c>
      <c r="AN10" s="21" t="s">
        <v>4</v>
      </c>
      <c r="AO10" s="21">
        <v>229465</v>
      </c>
      <c r="AP10" s="21">
        <v>53860</v>
      </c>
      <c r="AQ10" s="21">
        <v>187304</v>
      </c>
      <c r="AR10" s="21">
        <v>138681</v>
      </c>
      <c r="AS10" s="21">
        <v>40296</v>
      </c>
      <c r="AT10" s="21">
        <v>128392</v>
      </c>
      <c r="AU10" s="21">
        <v>21817</v>
      </c>
      <c r="AV10" s="21">
        <v>6564</v>
      </c>
      <c r="AW10" s="31">
        <v>19915</v>
      </c>
    </row>
    <row r="11" spans="1:49" x14ac:dyDescent="0.2">
      <c r="A11" s="62" t="s">
        <v>84</v>
      </c>
      <c r="B11" s="57" t="s">
        <v>5</v>
      </c>
      <c r="C11" s="57">
        <v>1681323</v>
      </c>
      <c r="D11" s="57">
        <v>944121</v>
      </c>
      <c r="E11" s="57">
        <v>232631</v>
      </c>
      <c r="F11" s="57">
        <v>260272</v>
      </c>
      <c r="G11" s="57">
        <v>148143</v>
      </c>
      <c r="H11" s="57">
        <v>158937</v>
      </c>
      <c r="I11" s="57">
        <v>19747</v>
      </c>
      <c r="J11" s="57">
        <v>1423</v>
      </c>
      <c r="K11" s="57">
        <v>211259</v>
      </c>
      <c r="L11" s="57">
        <v>32605</v>
      </c>
      <c r="M11" s="57">
        <v>19813</v>
      </c>
      <c r="N11" s="57">
        <v>4760</v>
      </c>
      <c r="O11" s="57">
        <v>451867</v>
      </c>
      <c r="P11" s="57">
        <v>42323</v>
      </c>
      <c r="Q11" s="57">
        <v>340700</v>
      </c>
      <c r="R11" s="57">
        <v>14198</v>
      </c>
      <c r="S11" s="57">
        <v>4729</v>
      </c>
      <c r="T11" s="57">
        <v>119006</v>
      </c>
      <c r="U11" s="57">
        <v>22189</v>
      </c>
      <c r="V11" s="57">
        <v>2876</v>
      </c>
      <c r="W11" s="57">
        <v>421897</v>
      </c>
      <c r="X11" s="57">
        <v>96546</v>
      </c>
      <c r="Y11" s="57">
        <v>10873</v>
      </c>
      <c r="Z11" s="57">
        <v>2146053</v>
      </c>
      <c r="AA11" s="57">
        <v>504094</v>
      </c>
      <c r="AB11" s="57">
        <v>63679</v>
      </c>
      <c r="AC11" s="57">
        <v>39706</v>
      </c>
      <c r="AD11" s="57">
        <v>16655</v>
      </c>
      <c r="AE11" s="57">
        <v>13851</v>
      </c>
      <c r="AF11" s="57">
        <v>5098</v>
      </c>
      <c r="AG11" s="57"/>
      <c r="AH11" s="69">
        <v>23273472</v>
      </c>
      <c r="AM11" s="62" t="s">
        <v>84</v>
      </c>
      <c r="AN11" s="21" t="s">
        <v>5</v>
      </c>
      <c r="AO11" s="21">
        <v>241899</v>
      </c>
      <c r="AP11" s="21">
        <v>62540</v>
      </c>
      <c r="AQ11" s="21">
        <v>198380</v>
      </c>
      <c r="AR11" s="21">
        <v>143305</v>
      </c>
      <c r="AS11" s="21">
        <v>45888</v>
      </c>
      <c r="AT11" s="21">
        <v>134059</v>
      </c>
      <c r="AU11" s="21">
        <v>22306</v>
      </c>
      <c r="AV11" s="21">
        <v>7262</v>
      </c>
      <c r="AW11" s="31">
        <v>20472</v>
      </c>
    </row>
    <row r="12" spans="1:49" ht="16" thickBot="1" x14ac:dyDescent="0.25">
      <c r="A12" s="86" t="s">
        <v>85</v>
      </c>
      <c r="B12" s="87" t="s">
        <v>6</v>
      </c>
      <c r="C12" s="87">
        <v>2304616</v>
      </c>
      <c r="D12" s="87">
        <v>1379039</v>
      </c>
      <c r="E12" s="87">
        <v>333816</v>
      </c>
      <c r="F12" s="87">
        <v>336769</v>
      </c>
      <c r="G12" s="87">
        <v>191590</v>
      </c>
      <c r="H12" s="87">
        <v>204250</v>
      </c>
      <c r="I12" s="87">
        <v>24791</v>
      </c>
      <c r="J12" s="87">
        <v>1360</v>
      </c>
      <c r="K12" s="87">
        <v>259790</v>
      </c>
      <c r="L12" s="87">
        <v>39624</v>
      </c>
      <c r="M12" s="87">
        <v>25005</v>
      </c>
      <c r="N12" s="87">
        <v>5448</v>
      </c>
      <c r="O12" s="87">
        <v>553763</v>
      </c>
      <c r="P12" s="87">
        <v>52453</v>
      </c>
      <c r="Q12" s="87">
        <v>421635</v>
      </c>
      <c r="R12" s="87">
        <v>17630</v>
      </c>
      <c r="S12" s="87">
        <v>6113</v>
      </c>
      <c r="T12" s="87">
        <v>152653</v>
      </c>
      <c r="U12" s="87">
        <v>29028</v>
      </c>
      <c r="V12" s="87">
        <v>3890</v>
      </c>
      <c r="W12" s="87">
        <v>474105</v>
      </c>
      <c r="X12" s="87">
        <v>110996</v>
      </c>
      <c r="Y12" s="87">
        <v>12581</v>
      </c>
      <c r="Z12" s="87">
        <v>2479921</v>
      </c>
      <c r="AA12" s="87">
        <v>587402</v>
      </c>
      <c r="AB12" s="87">
        <v>75383</v>
      </c>
      <c r="AC12" s="87">
        <v>38057</v>
      </c>
      <c r="AD12" s="87">
        <v>13402</v>
      </c>
      <c r="AE12" s="87">
        <v>13867</v>
      </c>
      <c r="AF12" s="87">
        <v>4580</v>
      </c>
      <c r="AG12" s="87"/>
      <c r="AH12" s="110">
        <v>21063999</v>
      </c>
      <c r="AM12" s="62" t="s">
        <v>85</v>
      </c>
      <c r="AN12" s="21" t="s">
        <v>6</v>
      </c>
      <c r="AO12" s="21">
        <v>229935</v>
      </c>
      <c r="AP12" s="21">
        <v>54040</v>
      </c>
      <c r="AQ12" s="21">
        <v>190757</v>
      </c>
      <c r="AR12" s="21">
        <v>135621</v>
      </c>
      <c r="AS12" s="21">
        <v>39389</v>
      </c>
      <c r="AT12" s="21">
        <v>128554</v>
      </c>
      <c r="AU12" s="21">
        <v>21394</v>
      </c>
      <c r="AV12" s="21">
        <v>6494</v>
      </c>
      <c r="AW12" s="31">
        <v>20091</v>
      </c>
    </row>
    <row r="13" spans="1:49" x14ac:dyDescent="0.2">
      <c r="A13" s="85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M13" s="81"/>
      <c r="AN13" s="72"/>
      <c r="AO13" s="72"/>
      <c r="AP13" s="72"/>
      <c r="AQ13" s="72"/>
      <c r="AR13" s="72"/>
      <c r="AS13" s="72"/>
      <c r="AT13" s="72"/>
      <c r="AU13" s="72"/>
      <c r="AV13" s="72"/>
      <c r="AW13" s="108"/>
    </row>
    <row r="14" spans="1:49" x14ac:dyDescent="0.2">
      <c r="A14" s="85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M14" s="81"/>
      <c r="AN14" s="72"/>
      <c r="AO14" s="72"/>
      <c r="AP14" s="72"/>
      <c r="AQ14" s="72"/>
      <c r="AR14" s="72"/>
      <c r="AS14" s="72"/>
      <c r="AT14" s="72"/>
      <c r="AU14" s="72"/>
      <c r="AV14" s="72"/>
      <c r="AW14" s="108"/>
    </row>
    <row r="15" spans="1:49" x14ac:dyDescent="0.2">
      <c r="A15" s="85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M15" s="81"/>
      <c r="AN15" s="72"/>
      <c r="AO15" s="72"/>
      <c r="AP15" s="72"/>
      <c r="AQ15" s="72"/>
      <c r="AR15" s="72"/>
      <c r="AS15" s="72"/>
      <c r="AT15" s="72"/>
      <c r="AU15" s="72"/>
      <c r="AV15" s="72"/>
      <c r="AW15" s="108"/>
    </row>
    <row r="16" spans="1:49" x14ac:dyDescent="0.2">
      <c r="A16" s="85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M16" s="81"/>
      <c r="AN16" s="72"/>
      <c r="AO16" s="72"/>
      <c r="AP16" s="72"/>
      <c r="AQ16" s="72"/>
      <c r="AR16" s="72"/>
      <c r="AS16" s="72"/>
      <c r="AT16" s="72"/>
      <c r="AU16" s="72"/>
      <c r="AV16" s="72"/>
      <c r="AW16" s="108"/>
    </row>
    <row r="17" spans="1:49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M17" s="20"/>
      <c r="AN17" s="21"/>
      <c r="AO17" s="21"/>
      <c r="AP17" s="21"/>
      <c r="AQ17" s="21"/>
      <c r="AR17" s="21"/>
      <c r="AS17" s="21"/>
      <c r="AT17" s="21"/>
      <c r="AU17" s="21"/>
      <c r="AV17" s="21"/>
      <c r="AW17" s="31"/>
    </row>
    <row r="18" spans="1:49" ht="16" thickBot="1" x14ac:dyDescent="0.25">
      <c r="W18" s="1"/>
      <c r="X18" s="1"/>
      <c r="AM18" s="60" t="s">
        <v>63</v>
      </c>
      <c r="AN18" s="21" t="s">
        <v>0</v>
      </c>
      <c r="AO18" s="71">
        <f>AQ6/SUM(AO6,AQ6)*100</f>
        <v>44.780827302476887</v>
      </c>
      <c r="AP18" s="71"/>
      <c r="AQ18" s="71"/>
      <c r="AR18" s="71">
        <f>AT6/SUM(AR6,AT6)*100</f>
        <v>47.956740849172405</v>
      </c>
      <c r="AS18" s="71"/>
      <c r="AT18" s="71"/>
      <c r="AU18" s="71">
        <f>AW6/SUM(AU6,AW6)*100</f>
        <v>47.585348593181877</v>
      </c>
      <c r="AV18" s="21"/>
      <c r="AW18" s="31"/>
    </row>
    <row r="19" spans="1:49" ht="16" thickBot="1" x14ac:dyDescent="0.25">
      <c r="A19" s="5"/>
      <c r="B19" s="6"/>
      <c r="C19" s="15" t="s">
        <v>51</v>
      </c>
      <c r="D19" s="15" t="s">
        <v>9</v>
      </c>
      <c r="E19" s="15" t="s">
        <v>52</v>
      </c>
      <c r="F19" s="15" t="s">
        <v>13</v>
      </c>
      <c r="G19" s="15" t="s">
        <v>14</v>
      </c>
      <c r="H19" s="15" t="s">
        <v>16</v>
      </c>
      <c r="I19" s="15" t="s">
        <v>18</v>
      </c>
      <c r="J19" s="15" t="s">
        <v>54</v>
      </c>
      <c r="K19" s="15" t="s">
        <v>56</v>
      </c>
      <c r="L19" s="15" t="s">
        <v>57</v>
      </c>
      <c r="M19" s="15" t="s">
        <v>58</v>
      </c>
      <c r="N19" s="15" t="s">
        <v>26</v>
      </c>
      <c r="O19" s="15" t="s">
        <v>59</v>
      </c>
      <c r="P19" s="15" t="s">
        <v>60</v>
      </c>
      <c r="Q19" s="15" t="s">
        <v>61</v>
      </c>
      <c r="R19" s="15" t="s">
        <v>62</v>
      </c>
      <c r="S19" s="15" t="s">
        <v>34</v>
      </c>
      <c r="T19" s="15" t="s">
        <v>35</v>
      </c>
      <c r="U19" s="16" t="s">
        <v>36</v>
      </c>
      <c r="W19" s="4"/>
      <c r="X19" s="4"/>
      <c r="Y19" s="4"/>
      <c r="AM19" s="60" t="s">
        <v>64</v>
      </c>
      <c r="AN19" s="21" t="s">
        <v>1</v>
      </c>
      <c r="AO19" s="71">
        <f t="shared" ref="AO19:AO24" si="0">AQ7/SUM(AO7,AQ7)*100</f>
        <v>44.680177731498851</v>
      </c>
      <c r="AP19" s="71"/>
      <c r="AQ19" s="71"/>
      <c r="AR19" s="71">
        <f t="shared" ref="AR19:AR24" si="1">AT7/SUM(AR7,AT7)*100</f>
        <v>48.029935193916657</v>
      </c>
      <c r="AS19" s="71"/>
      <c r="AT19" s="71"/>
      <c r="AU19" s="71">
        <f t="shared" ref="AU19:AU24" si="2">AW7/SUM(AU7,AW7)*100</f>
        <v>47.612571773949838</v>
      </c>
      <c r="AV19" s="21"/>
      <c r="AW19" s="31"/>
    </row>
    <row r="20" spans="1:49" ht="16" thickTop="1" x14ac:dyDescent="0.2">
      <c r="A20" s="60" t="s">
        <v>63</v>
      </c>
      <c r="B20" s="59" t="s">
        <v>0</v>
      </c>
      <c r="C20" s="11">
        <f t="shared" ref="C20:C26" si="3">D6/SUM(C6:D6)*100</f>
        <v>37.028352006694199</v>
      </c>
      <c r="D20" s="11">
        <f t="shared" ref="D20:D26" si="4">E6/SUM(C6,E6)*100</f>
        <v>12.309237236152967</v>
      </c>
      <c r="E20" s="11">
        <f t="shared" ref="E20:E26" si="5">G6/SUM(F6,G6)*100</f>
        <v>36.870700075914073</v>
      </c>
      <c r="F20" s="9">
        <f t="shared" ref="F20:F26" si="6">I6/SUM(H6,I6)*100</f>
        <v>10.23697679310103</v>
      </c>
      <c r="G20" s="9">
        <f t="shared" ref="G20:G26" si="7">J6/SUM(H6,J6)*100</f>
        <v>0.66801148265963228</v>
      </c>
      <c r="H20" s="9">
        <f t="shared" ref="H20:H26" si="8">L6/SUM(K6,L6)*100</f>
        <v>11.794767738160402</v>
      </c>
      <c r="I20" s="9">
        <f t="shared" ref="I20:I26" si="9">N6/SUM(K6,N6)*100</f>
        <v>2.3125646734188328</v>
      </c>
      <c r="J20" s="9">
        <f t="shared" ref="J20:J26" si="10">P6/SUM(O6,P6)*100</f>
        <v>9.135203213914707</v>
      </c>
      <c r="K20" s="9">
        <f t="shared" ref="K20:K26" si="11">R6/SUM(Q6,R6)*100</f>
        <v>3.9662903715872173</v>
      </c>
      <c r="L20" s="9">
        <f t="shared" ref="L20:L26" si="12">S6/SUM(Q6,S6)*100</f>
        <v>1.4851552973735769</v>
      </c>
      <c r="M20" s="9">
        <f t="shared" ref="M20:M26" si="13">U6/SUM(T6,U6)*100</f>
        <v>16.070768968489247</v>
      </c>
      <c r="N20" s="9">
        <f t="shared" ref="N20:N26" si="14">V6/SUM(T6,V6)*100</f>
        <v>2.4611726893484938</v>
      </c>
      <c r="O20" s="9">
        <f t="shared" ref="O20:O26" si="15">X6/SUM(W6,X6)*100</f>
        <v>17.238386424555777</v>
      </c>
      <c r="P20" s="9">
        <f t="shared" ref="P20:P26" si="16">Y6/SUM(W6,Y6)*100</f>
        <v>1.8888727908512943</v>
      </c>
      <c r="Q20" s="9">
        <f t="shared" ref="Q20:Q26" si="17">AA6/SUM(Z6,AA6)*100</f>
        <v>17.121453143690168</v>
      </c>
      <c r="R20" s="9">
        <f t="shared" ref="R20:R26" si="18">AB6/SUM(Z6,AB6)*100</f>
        <v>2.4746698858807448</v>
      </c>
      <c r="S20" s="9">
        <f t="shared" ref="S20:S26" si="19">AD6/SUM(AC6,AD6)*100</f>
        <v>29.083094555873924</v>
      </c>
      <c r="T20" s="9">
        <f t="shared" ref="T20:T26" si="20">AE6/SUM(AC6,AE6)*100</f>
        <v>22.846852159993261</v>
      </c>
      <c r="U20" s="10">
        <f t="shared" ref="U20:U26" si="21">AF6/SUM(AC6,AF6)*100</f>
        <v>12.305482403638976</v>
      </c>
      <c r="AM20" s="60" t="s">
        <v>65</v>
      </c>
      <c r="AN20" s="21" t="s">
        <v>2</v>
      </c>
      <c r="AO20" s="71">
        <f t="shared" si="0"/>
        <v>44.658828864467445</v>
      </c>
      <c r="AP20" s="71"/>
      <c r="AQ20" s="71"/>
      <c r="AR20" s="71">
        <f t="shared" si="1"/>
        <v>47.96096839052538</v>
      </c>
      <c r="AS20" s="71"/>
      <c r="AT20" s="71"/>
      <c r="AU20" s="71">
        <f t="shared" si="2"/>
        <v>47.55064369556986</v>
      </c>
      <c r="AV20" s="21"/>
      <c r="AW20" s="31"/>
    </row>
    <row r="21" spans="1:49" x14ac:dyDescent="0.2">
      <c r="A21" s="60" t="s">
        <v>64</v>
      </c>
      <c r="B21" s="59" t="s">
        <v>1</v>
      </c>
      <c r="C21" s="11">
        <f t="shared" si="3"/>
        <v>37.338851159781804</v>
      </c>
      <c r="D21" s="11">
        <f t="shared" si="4"/>
        <v>12.541077413553502</v>
      </c>
      <c r="E21" s="11">
        <f t="shared" si="5"/>
        <v>34.756536723555683</v>
      </c>
      <c r="F21" s="9">
        <f t="shared" si="6"/>
        <v>9.6124951072614557</v>
      </c>
      <c r="G21" s="9">
        <f t="shared" si="7"/>
        <v>0.4436409150963076</v>
      </c>
      <c r="H21" s="9">
        <f t="shared" si="8"/>
        <v>11.204960421480489</v>
      </c>
      <c r="I21" s="9">
        <f t="shared" si="9"/>
        <v>2.6613784393580335</v>
      </c>
      <c r="J21" s="9">
        <f t="shared" si="10"/>
        <v>7.0808057539225473</v>
      </c>
      <c r="K21" s="9">
        <f t="shared" si="11"/>
        <v>4.1594069215264255</v>
      </c>
      <c r="L21" s="9">
        <f t="shared" si="12"/>
        <v>1.5718470957668893</v>
      </c>
      <c r="M21" s="9">
        <f t="shared" si="13"/>
        <v>15.053189063833392</v>
      </c>
      <c r="N21" s="9">
        <f t="shared" si="14"/>
        <v>1.7583907786190529</v>
      </c>
      <c r="O21" s="9">
        <f t="shared" si="15"/>
        <v>16.677320626065395</v>
      </c>
      <c r="P21" s="9">
        <f t="shared" si="16"/>
        <v>1.586103151043007</v>
      </c>
      <c r="Q21" s="9">
        <f t="shared" si="17"/>
        <v>16.649937294601148</v>
      </c>
      <c r="R21" s="9">
        <f t="shared" si="18"/>
        <v>2.2514499601194684</v>
      </c>
      <c r="S21" s="9">
        <f t="shared" si="19"/>
        <v>23.748272562985012</v>
      </c>
      <c r="T21" s="9">
        <f t="shared" si="20"/>
        <v>22.218607677293427</v>
      </c>
      <c r="U21" s="10">
        <f t="shared" si="21"/>
        <v>8.9345224870663671</v>
      </c>
      <c r="AM21" s="60" t="s">
        <v>66</v>
      </c>
      <c r="AN21" s="21" t="s">
        <v>3</v>
      </c>
      <c r="AO21" s="71">
        <f t="shared" si="0"/>
        <v>44.943292436135671</v>
      </c>
      <c r="AP21" s="71"/>
      <c r="AQ21" s="71"/>
      <c r="AR21" s="71">
        <f t="shared" si="1"/>
        <v>48.659442856939087</v>
      </c>
      <c r="AS21" s="71"/>
      <c r="AT21" s="71"/>
      <c r="AU21" s="71">
        <f t="shared" si="2"/>
        <v>48.213799570464928</v>
      </c>
      <c r="AV21" s="21"/>
      <c r="AW21" s="31"/>
    </row>
    <row r="22" spans="1:49" x14ac:dyDescent="0.2">
      <c r="A22" s="60" t="s">
        <v>65</v>
      </c>
      <c r="B22" s="59" t="s">
        <v>2</v>
      </c>
      <c r="C22" s="11">
        <f t="shared" si="3"/>
        <v>35.541300589252323</v>
      </c>
      <c r="D22" s="11">
        <f t="shared" si="4"/>
        <v>11.703954033299564</v>
      </c>
      <c r="E22" s="11">
        <f t="shared" si="5"/>
        <v>34.390813206016354</v>
      </c>
      <c r="F22" s="9">
        <f t="shared" si="6"/>
        <v>9.6079585653411392</v>
      </c>
      <c r="G22" s="9">
        <f t="shared" si="7"/>
        <v>0.51061654421380498</v>
      </c>
      <c r="H22" s="9">
        <f t="shared" si="8"/>
        <v>11.341117006795733</v>
      </c>
      <c r="I22" s="9">
        <f t="shared" si="9"/>
        <v>2.2384086455135539</v>
      </c>
      <c r="J22" s="9">
        <f t="shared" si="10"/>
        <v>7.3700155571931543</v>
      </c>
      <c r="K22" s="9">
        <f t="shared" si="11"/>
        <v>4.0486641580039846</v>
      </c>
      <c r="L22" s="9">
        <f t="shared" si="12"/>
        <v>1.4300056633887659</v>
      </c>
      <c r="M22" s="9">
        <f t="shared" si="13"/>
        <v>16.552069449439706</v>
      </c>
      <c r="N22" s="9">
        <f t="shared" si="14"/>
        <v>2.2946271540513088</v>
      </c>
      <c r="O22" s="9">
        <f t="shared" si="15"/>
        <v>16.776019983347208</v>
      </c>
      <c r="P22" s="9">
        <f t="shared" si="16"/>
        <v>1.7368165790612016</v>
      </c>
      <c r="Q22" s="9">
        <f t="shared" si="17"/>
        <v>16.983688301183268</v>
      </c>
      <c r="R22" s="9">
        <f t="shared" si="18"/>
        <v>2.8791154401087025</v>
      </c>
      <c r="S22" s="9">
        <f t="shared" si="19"/>
        <v>30.244932137748158</v>
      </c>
      <c r="T22" s="9">
        <f t="shared" si="20"/>
        <v>23.207666749889569</v>
      </c>
      <c r="U22" s="10">
        <f t="shared" si="21"/>
        <v>10.888992890731206</v>
      </c>
      <c r="AM22" s="62" t="s">
        <v>83</v>
      </c>
      <c r="AN22" s="21" t="s">
        <v>4</v>
      </c>
      <c r="AO22" s="71">
        <f t="shared" si="0"/>
        <v>44.941922263891989</v>
      </c>
      <c r="AP22" s="71"/>
      <c r="AQ22" s="71"/>
      <c r="AR22" s="71">
        <f t="shared" si="1"/>
        <v>48.07374762705328</v>
      </c>
      <c r="AS22" s="71"/>
      <c r="AT22" s="71"/>
      <c r="AU22" s="71">
        <f t="shared" si="2"/>
        <v>47.721173200421738</v>
      </c>
      <c r="AV22" s="21"/>
      <c r="AW22" s="31"/>
    </row>
    <row r="23" spans="1:49" x14ac:dyDescent="0.2">
      <c r="A23" s="60" t="s">
        <v>66</v>
      </c>
      <c r="B23" s="59" t="s">
        <v>3</v>
      </c>
      <c r="C23" s="11">
        <f t="shared" si="3"/>
        <v>35.713164414537509</v>
      </c>
      <c r="D23" s="11">
        <f t="shared" si="4"/>
        <v>11.943342859227126</v>
      </c>
      <c r="E23" s="11">
        <f t="shared" si="5"/>
        <v>32.902667479219723</v>
      </c>
      <c r="F23" s="9">
        <f t="shared" si="6"/>
        <v>10.476081613990971</v>
      </c>
      <c r="G23" s="9">
        <f t="shared" si="7"/>
        <v>0.69971076508578001</v>
      </c>
      <c r="H23" s="9">
        <f t="shared" si="8"/>
        <v>12.978711341667376</v>
      </c>
      <c r="I23" s="9">
        <f t="shared" si="9"/>
        <v>2.1316107230101582</v>
      </c>
      <c r="J23" s="9">
        <f t="shared" si="10"/>
        <v>7.178222748909505</v>
      </c>
      <c r="K23" s="9">
        <f t="shared" si="11"/>
        <v>3.6915874451618618</v>
      </c>
      <c r="L23" s="9">
        <f t="shared" si="12"/>
        <v>1.261137509153202</v>
      </c>
      <c r="M23" s="9">
        <f t="shared" si="13"/>
        <v>16.210257796398285</v>
      </c>
      <c r="N23" s="9">
        <f t="shared" si="14"/>
        <v>1.8454018325384416</v>
      </c>
      <c r="O23" s="9">
        <f t="shared" si="15"/>
        <v>18.85881423519675</v>
      </c>
      <c r="P23" s="9">
        <f t="shared" si="16"/>
        <v>2.573327641929386</v>
      </c>
      <c r="Q23" s="9">
        <f t="shared" si="17"/>
        <v>18.964017875401879</v>
      </c>
      <c r="R23" s="9">
        <f t="shared" si="18"/>
        <v>2.9889945474407971</v>
      </c>
      <c r="S23" s="9">
        <f t="shared" si="19"/>
        <v>32.5205862788724</v>
      </c>
      <c r="T23" s="9">
        <f t="shared" si="20"/>
        <v>25.09675119665954</v>
      </c>
      <c r="U23" s="10">
        <f t="shared" si="21"/>
        <v>6.4340690795750906</v>
      </c>
      <c r="AM23" s="62" t="s">
        <v>84</v>
      </c>
      <c r="AN23" s="21" t="s">
        <v>5</v>
      </c>
      <c r="AO23" s="71">
        <f t="shared" si="0"/>
        <v>45.057792899502367</v>
      </c>
      <c r="AP23" s="71"/>
      <c r="AQ23" s="71"/>
      <c r="AR23" s="71">
        <f t="shared" si="1"/>
        <v>48.333237190118403</v>
      </c>
      <c r="AS23" s="71"/>
      <c r="AT23" s="71"/>
      <c r="AU23" s="71">
        <f t="shared" si="2"/>
        <v>47.856374772079107</v>
      </c>
      <c r="AV23" s="21"/>
      <c r="AW23" s="31"/>
    </row>
    <row r="24" spans="1:49" x14ac:dyDescent="0.2">
      <c r="A24" s="61" t="s">
        <v>83</v>
      </c>
      <c r="B24" s="58" t="s">
        <v>4</v>
      </c>
      <c r="C24" s="43">
        <f t="shared" si="3"/>
        <v>36.51336131037521</v>
      </c>
      <c r="D24" s="43">
        <f t="shared" si="4"/>
        <v>12.284195209683741</v>
      </c>
      <c r="E24" s="43">
        <f t="shared" si="5"/>
        <v>34.388011229254026</v>
      </c>
      <c r="F24" s="40">
        <f t="shared" si="6"/>
        <v>10.593084888898801</v>
      </c>
      <c r="G24" s="40">
        <f t="shared" si="7"/>
        <v>0.68498806741702933</v>
      </c>
      <c r="H24" s="40">
        <f t="shared" si="8"/>
        <v>13.016759597820837</v>
      </c>
      <c r="I24" s="40">
        <f t="shared" si="9"/>
        <v>2.2409577910404832</v>
      </c>
      <c r="J24" s="40">
        <f t="shared" si="10"/>
        <v>7.3192481006337173</v>
      </c>
      <c r="K24" s="40">
        <f t="shared" si="11"/>
        <v>3.9520805251361897</v>
      </c>
      <c r="L24" s="40">
        <f t="shared" si="12"/>
        <v>1.6149413392302747</v>
      </c>
      <c r="M24" s="40">
        <f t="shared" si="13"/>
        <v>15.250180952158585</v>
      </c>
      <c r="N24" s="40">
        <f t="shared" si="14"/>
        <v>1.870801173305938</v>
      </c>
      <c r="O24" s="40">
        <f t="shared" si="15"/>
        <v>18.654118909077859</v>
      </c>
      <c r="P24" s="40">
        <f t="shared" si="16"/>
        <v>2.3883715607245568</v>
      </c>
      <c r="Q24" s="40">
        <f t="shared" si="17"/>
        <v>18.544629889317374</v>
      </c>
      <c r="R24" s="40">
        <f t="shared" si="18"/>
        <v>2.8762723301594124</v>
      </c>
      <c r="S24" s="40">
        <f t="shared" si="19"/>
        <v>25.227981851890931</v>
      </c>
      <c r="T24" s="40">
        <f t="shared" si="20"/>
        <v>25.284292018736913</v>
      </c>
      <c r="U24" s="41">
        <f t="shared" si="21"/>
        <v>7.3633494556387609</v>
      </c>
      <c r="AM24" s="62" t="s">
        <v>85</v>
      </c>
      <c r="AN24" s="21" t="s">
        <v>6</v>
      </c>
      <c r="AO24" s="71">
        <f t="shared" si="0"/>
        <v>45.343624314225131</v>
      </c>
      <c r="AP24" s="71"/>
      <c r="AQ24" s="71"/>
      <c r="AR24" s="71">
        <f t="shared" si="1"/>
        <v>48.662439670672846</v>
      </c>
      <c r="AS24" s="71"/>
      <c r="AT24" s="71"/>
      <c r="AU24" s="71">
        <f t="shared" si="2"/>
        <v>48.429552850427868</v>
      </c>
      <c r="AV24" s="21"/>
      <c r="AW24" s="31"/>
    </row>
    <row r="25" spans="1:49" x14ac:dyDescent="0.2">
      <c r="A25" s="62" t="s">
        <v>84</v>
      </c>
      <c r="B25" s="57" t="s">
        <v>5</v>
      </c>
      <c r="C25" s="45">
        <f t="shared" si="3"/>
        <v>35.960431835529533</v>
      </c>
      <c r="D25" s="45">
        <f t="shared" si="4"/>
        <v>12.154471842060991</v>
      </c>
      <c r="E25" s="45">
        <f t="shared" si="5"/>
        <v>36.272663834580023</v>
      </c>
      <c r="F25" s="35">
        <f t="shared" si="6"/>
        <v>11.051353226925746</v>
      </c>
      <c r="G25" s="35">
        <f t="shared" si="7"/>
        <v>0.88737839860314294</v>
      </c>
      <c r="H25" s="35">
        <f t="shared" si="8"/>
        <v>13.370157136764755</v>
      </c>
      <c r="I25" s="35">
        <f t="shared" si="9"/>
        <v>2.2035098764460535</v>
      </c>
      <c r="J25" s="35">
        <f t="shared" si="10"/>
        <v>8.5641150164916322</v>
      </c>
      <c r="K25" s="35">
        <f t="shared" si="11"/>
        <v>4.0005860838888925</v>
      </c>
      <c r="L25" s="35">
        <f t="shared" si="12"/>
        <v>1.369022288227103</v>
      </c>
      <c r="M25" s="35">
        <f t="shared" si="13"/>
        <v>15.715145720457524</v>
      </c>
      <c r="N25" s="35">
        <f t="shared" si="14"/>
        <v>2.3596593426428845</v>
      </c>
      <c r="O25" s="35">
        <f t="shared" si="15"/>
        <v>18.622297918961198</v>
      </c>
      <c r="P25" s="35">
        <f t="shared" si="16"/>
        <v>2.512419992143633</v>
      </c>
      <c r="Q25" s="35">
        <f t="shared" si="17"/>
        <v>19.021359947202928</v>
      </c>
      <c r="R25" s="35">
        <f t="shared" si="18"/>
        <v>2.8817521762820109</v>
      </c>
      <c r="S25" s="35">
        <f t="shared" si="19"/>
        <v>29.550575752736822</v>
      </c>
      <c r="T25" s="35">
        <f t="shared" si="20"/>
        <v>25.862165543252985</v>
      </c>
      <c r="U25" s="37">
        <f t="shared" si="21"/>
        <v>11.378448352825639</v>
      </c>
      <c r="AM25" s="81"/>
      <c r="AN25" s="72"/>
      <c r="AO25" s="98"/>
      <c r="AP25" s="98"/>
      <c r="AQ25" s="98"/>
      <c r="AR25" s="98"/>
      <c r="AS25" s="98"/>
      <c r="AT25" s="98"/>
      <c r="AU25" s="98"/>
      <c r="AV25" s="21"/>
      <c r="AW25" s="31"/>
    </row>
    <row r="26" spans="1:49" ht="16" thickBot="1" x14ac:dyDescent="0.25">
      <c r="A26" s="86" t="s">
        <v>85</v>
      </c>
      <c r="B26" s="87" t="s">
        <v>6</v>
      </c>
      <c r="C26" s="101">
        <f t="shared" si="3"/>
        <v>37.436703491505043</v>
      </c>
      <c r="D26" s="101">
        <f t="shared" si="4"/>
        <v>12.652060011400712</v>
      </c>
      <c r="E26" s="101">
        <f t="shared" si="5"/>
        <v>36.261329891229259</v>
      </c>
      <c r="F26" s="96">
        <f t="shared" si="6"/>
        <v>10.823826301841155</v>
      </c>
      <c r="G26" s="96">
        <f t="shared" si="7"/>
        <v>0.66144642770293272</v>
      </c>
      <c r="H26" s="96">
        <f t="shared" si="8"/>
        <v>13.233850120568844</v>
      </c>
      <c r="I26" s="96">
        <f t="shared" si="9"/>
        <v>2.0540043281882689</v>
      </c>
      <c r="J26" s="96">
        <f t="shared" si="10"/>
        <v>8.6525264922073983</v>
      </c>
      <c r="K26" s="96">
        <f t="shared" si="11"/>
        <v>4.0135225888700443</v>
      </c>
      <c r="L26" s="96">
        <f t="shared" si="12"/>
        <v>1.4291124680886877</v>
      </c>
      <c r="M26" s="96">
        <f t="shared" si="13"/>
        <v>15.977454989789797</v>
      </c>
      <c r="N26" s="96">
        <f t="shared" si="14"/>
        <v>2.4849402400618361</v>
      </c>
      <c r="O26" s="96">
        <f t="shared" si="15"/>
        <v>18.970399982225292</v>
      </c>
      <c r="P26" s="96">
        <f t="shared" si="16"/>
        <v>2.5850342931582171</v>
      </c>
      <c r="Q26" s="96">
        <f t="shared" si="17"/>
        <v>19.150314459872664</v>
      </c>
      <c r="R26" s="96">
        <f t="shared" si="18"/>
        <v>2.9500599537276191</v>
      </c>
      <c r="S26" s="96">
        <f t="shared" si="19"/>
        <v>26.044035057035696</v>
      </c>
      <c r="T26" s="96">
        <f t="shared" si="20"/>
        <v>26.706340035436405</v>
      </c>
      <c r="U26" s="97">
        <f t="shared" si="21"/>
        <v>10.741843938363393</v>
      </c>
      <c r="AM26" s="81"/>
      <c r="AN26" s="72"/>
      <c r="AO26" s="98"/>
      <c r="AP26" s="98"/>
      <c r="AQ26" s="98"/>
      <c r="AR26" s="98"/>
      <c r="AS26" s="98"/>
      <c r="AT26" s="98"/>
      <c r="AU26" s="98"/>
      <c r="AV26" s="21"/>
      <c r="AW26" s="31"/>
    </row>
    <row r="27" spans="1:49" x14ac:dyDescent="0.2">
      <c r="A27" s="85"/>
      <c r="B27" s="72"/>
      <c r="C27" s="98"/>
      <c r="D27" s="98"/>
      <c r="E27" s="98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AM27" s="81"/>
      <c r="AN27" s="72"/>
      <c r="AO27" s="98"/>
      <c r="AP27" s="98"/>
      <c r="AQ27" s="98"/>
      <c r="AR27" s="98"/>
      <c r="AS27" s="98"/>
      <c r="AT27" s="98"/>
      <c r="AU27" s="98"/>
      <c r="AV27" s="21"/>
      <c r="AW27" s="31"/>
    </row>
    <row r="28" spans="1:49" ht="16" thickBot="1" x14ac:dyDescent="0.25">
      <c r="A28" s="85"/>
      <c r="B28" s="72"/>
      <c r="C28" s="98"/>
      <c r="D28" s="98"/>
      <c r="E28" s="98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AM28" s="83"/>
      <c r="AN28" s="84"/>
      <c r="AO28" s="100"/>
      <c r="AP28" s="100"/>
      <c r="AQ28" s="100"/>
      <c r="AR28" s="100"/>
      <c r="AS28" s="100"/>
      <c r="AT28" s="100"/>
      <c r="AU28" s="100"/>
      <c r="AV28" s="55"/>
      <c r="AW28" s="70"/>
    </row>
    <row r="29" spans="1:49" x14ac:dyDescent="0.2">
      <c r="A29" s="85"/>
      <c r="B29" s="72"/>
      <c r="C29" s="98"/>
      <c r="D29" s="98"/>
      <c r="E29" s="98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</row>
    <row r="30" spans="1:49" x14ac:dyDescent="0.2">
      <c r="A30" s="85"/>
      <c r="B30" s="72"/>
      <c r="C30" s="98"/>
      <c r="D30" s="98"/>
      <c r="E30" s="98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</row>
    <row r="31" spans="1:49" ht="16" thickBot="1" x14ac:dyDescent="0.25"/>
    <row r="32" spans="1:49" ht="16" thickBot="1" x14ac:dyDescent="0.25">
      <c r="A32" s="5"/>
      <c r="B32" s="6"/>
      <c r="C32" s="15" t="s">
        <v>51</v>
      </c>
      <c r="D32" s="15" t="s">
        <v>9</v>
      </c>
      <c r="E32" s="15" t="s">
        <v>52</v>
      </c>
      <c r="F32" s="15" t="s">
        <v>13</v>
      </c>
      <c r="G32" s="15" t="s">
        <v>14</v>
      </c>
      <c r="H32" s="15" t="s">
        <v>16</v>
      </c>
      <c r="I32" s="15" t="s">
        <v>18</v>
      </c>
      <c r="J32" s="15" t="s">
        <v>54</v>
      </c>
      <c r="K32" s="15" t="s">
        <v>56</v>
      </c>
      <c r="L32" s="15" t="s">
        <v>57</v>
      </c>
      <c r="M32" s="15"/>
      <c r="N32" s="15" t="s">
        <v>26</v>
      </c>
      <c r="O32" s="15"/>
      <c r="P32" s="15" t="s">
        <v>60</v>
      </c>
      <c r="Q32" s="15"/>
      <c r="R32" s="15" t="s">
        <v>62</v>
      </c>
      <c r="S32" s="15"/>
      <c r="T32" s="15" t="s">
        <v>35</v>
      </c>
      <c r="U32" s="16" t="s">
        <v>36</v>
      </c>
    </row>
    <row r="33" spans="1:21" ht="16" thickTop="1" x14ac:dyDescent="0.2">
      <c r="A33" s="60" t="s">
        <v>63</v>
      </c>
      <c r="B33" s="59" t="s">
        <v>0</v>
      </c>
      <c r="C33" s="11">
        <f t="shared" ref="C33:C39" si="22">(C20-1.46)/$AU18*100/2</f>
        <v>37.373217868777473</v>
      </c>
      <c r="D33" s="11">
        <f t="shared" ref="D33:D39" si="23">(D20-0.26)/$AU18*100/2</f>
        <v>12.660658787187499</v>
      </c>
      <c r="E33" s="11">
        <f t="shared" ref="E33:E39" si="24">(E20-1.45)/$AU18*100/2</f>
        <v>37.21807354899699</v>
      </c>
      <c r="F33" s="11">
        <f t="shared" ref="F33:F39" si="25">(F20-10.0312)/$AU18*100/2</f>
        <v>0.21621864626890061</v>
      </c>
      <c r="G33" s="11">
        <f t="shared" ref="G33:G39" si="26">(G20-0.3009)/$AU18*100/2</f>
        <v>0.38574003712587357</v>
      </c>
      <c r="H33" s="11">
        <f t="shared" ref="H33:H39" si="27">(H20-10.0244)/$AU18*100/2</f>
        <v>1.8602025523609005</v>
      </c>
      <c r="I33" s="11">
        <f t="shared" ref="I33:I39" si="28">(I20-0.3)/$AU18*100/2</f>
        <v>2.1146894295392396</v>
      </c>
      <c r="J33" s="11">
        <f t="shared" ref="J33:J39" si="29">(J20-3.27)/$AU18*100/2</f>
        <v>6.1628246795643795</v>
      </c>
      <c r="K33" s="11">
        <f t="shared" ref="K33:K39" si="30">(K20-0.9821)/$AU18*100/2</f>
        <v>3.1356189035198092</v>
      </c>
      <c r="L33" s="11">
        <f t="shared" ref="L33:L39" si="31">(L20-0.1654)/$AU18*100/2</f>
        <v>1.3867244187454308</v>
      </c>
      <c r="M33" s="11"/>
      <c r="N33" s="11">
        <f t="shared" ref="N33:N39" si="32">(N20-0.9614)/$AU18*100/2</f>
        <v>1.5758765394054339</v>
      </c>
      <c r="O33" s="11"/>
      <c r="P33" s="11">
        <f t="shared" ref="P33:P39" si="33">(P20-1.0276)/$AU18*100/2</f>
        <v>0.90497686400756883</v>
      </c>
      <c r="Q33" s="11"/>
      <c r="R33" s="11">
        <f t="shared" ref="R33:R39" si="34">(R20-1.0068)/$AU18*100/2</f>
        <v>1.5423548731668471</v>
      </c>
      <c r="S33" s="11"/>
      <c r="T33" s="11">
        <f t="shared" ref="T33:T39" si="35">(T20-17.9894)/$AU18*100/2</f>
        <v>5.1039367195990737</v>
      </c>
      <c r="U33" s="12">
        <f t="shared" ref="U33:U39" si="36">(U20-4.5)/$AU18*100/2</f>
        <v>8.2015606004800397</v>
      </c>
    </row>
    <row r="34" spans="1:21" x14ac:dyDescent="0.2">
      <c r="A34" s="60" t="s">
        <v>64</v>
      </c>
      <c r="B34" s="59" t="s">
        <v>1</v>
      </c>
      <c r="C34" s="11">
        <f t="shared" si="22"/>
        <v>37.677917641294187</v>
      </c>
      <c r="D34" s="11">
        <f t="shared" si="23"/>
        <v>12.89688516707348</v>
      </c>
      <c r="E34" s="11">
        <f t="shared" si="24"/>
        <v>34.97662012638709</v>
      </c>
      <c r="F34" s="11">
        <f t="shared" si="25"/>
        <v>-0.4396999333772908</v>
      </c>
      <c r="G34" s="11">
        <f t="shared" si="26"/>
        <v>0.14989834593896598</v>
      </c>
      <c r="H34" s="11">
        <f t="shared" si="27"/>
        <v>1.239757040520133</v>
      </c>
      <c r="I34" s="11">
        <f t="shared" si="28"/>
        <v>2.4797845940449803</v>
      </c>
      <c r="J34" s="11">
        <f t="shared" si="29"/>
        <v>4.0018902696698531</v>
      </c>
      <c r="K34" s="11">
        <f t="shared" si="30"/>
        <v>3.3366260245417139</v>
      </c>
      <c r="L34" s="11">
        <f t="shared" si="31"/>
        <v>1.4769703078047085</v>
      </c>
      <c r="M34" s="11"/>
      <c r="N34" s="11">
        <f t="shared" si="32"/>
        <v>0.83695413724228684</v>
      </c>
      <c r="O34" s="11"/>
      <c r="P34" s="11">
        <f t="shared" si="33"/>
        <v>0.58650806943868927</v>
      </c>
      <c r="Q34" s="11"/>
      <c r="R34" s="11">
        <f t="shared" si="34"/>
        <v>1.3070602088338055</v>
      </c>
      <c r="S34" s="11"/>
      <c r="T34" s="11">
        <f t="shared" si="35"/>
        <v>4.4412720419434937</v>
      </c>
      <c r="U34" s="12">
        <f t="shared" si="36"/>
        <v>4.6568819135838169</v>
      </c>
    </row>
    <row r="35" spans="1:21" x14ac:dyDescent="0.2">
      <c r="A35" s="60" t="s">
        <v>65</v>
      </c>
      <c r="B35" s="59" t="s">
        <v>2</v>
      </c>
      <c r="C35" s="11">
        <f t="shared" si="22"/>
        <v>35.83684461502628</v>
      </c>
      <c r="D35" s="11">
        <f t="shared" si="23"/>
        <v>12.0334375561416</v>
      </c>
      <c r="E35" s="11">
        <f t="shared" si="24"/>
        <v>34.637610183482479</v>
      </c>
      <c r="F35" s="11">
        <f t="shared" si="25"/>
        <v>-0.44504280254180123</v>
      </c>
      <c r="G35" s="11">
        <f t="shared" si="26"/>
        <v>0.22051914329115968</v>
      </c>
      <c r="H35" s="11">
        <f t="shared" si="27"/>
        <v>1.3845417269487004</v>
      </c>
      <c r="I35" s="11">
        <f t="shared" si="28"/>
        <v>2.0382569980794485</v>
      </c>
      <c r="J35" s="11">
        <f t="shared" si="29"/>
        <v>4.3112093113212051</v>
      </c>
      <c r="K35" s="11">
        <f t="shared" si="30"/>
        <v>3.2245243383421185</v>
      </c>
      <c r="L35" s="11">
        <f t="shared" si="31"/>
        <v>1.3297461034229754</v>
      </c>
      <c r="M35" s="11"/>
      <c r="N35" s="11">
        <f t="shared" si="32"/>
        <v>1.4019023197529514</v>
      </c>
      <c r="O35" s="11"/>
      <c r="P35" s="11">
        <f t="shared" si="33"/>
        <v>0.7457486628380563</v>
      </c>
      <c r="Q35" s="11"/>
      <c r="R35" s="11">
        <f t="shared" si="34"/>
        <v>1.9687593001849732</v>
      </c>
      <c r="S35" s="11"/>
      <c r="T35" s="11">
        <f t="shared" si="35"/>
        <v>5.487062155559987</v>
      </c>
      <c r="U35" s="12">
        <f t="shared" si="36"/>
        <v>6.7180929575159958</v>
      </c>
    </row>
    <row r="36" spans="1:21" x14ac:dyDescent="0.2">
      <c r="A36" s="60" t="s">
        <v>66</v>
      </c>
      <c r="B36" s="59" t="s">
        <v>3</v>
      </c>
      <c r="C36" s="11">
        <f t="shared" si="22"/>
        <v>35.522158302910952</v>
      </c>
      <c r="D36" s="11">
        <f t="shared" si="23"/>
        <v>12.116181428671483</v>
      </c>
      <c r="E36" s="11">
        <f t="shared" si="24"/>
        <v>32.617909975391328</v>
      </c>
      <c r="F36" s="11">
        <f t="shared" si="25"/>
        <v>0.4613633627243709</v>
      </c>
      <c r="G36" s="11">
        <f t="shared" si="26"/>
        <v>0.41358570434063613</v>
      </c>
      <c r="H36" s="11">
        <f t="shared" si="27"/>
        <v>3.063761172099309</v>
      </c>
      <c r="I36" s="11">
        <f t="shared" si="28"/>
        <v>1.8994673094922148</v>
      </c>
      <c r="J36" s="11">
        <f t="shared" si="29"/>
        <v>4.0530126060668588</v>
      </c>
      <c r="K36" s="11">
        <f t="shared" si="30"/>
        <v>2.8098671638624126</v>
      </c>
      <c r="L36" s="11">
        <f t="shared" si="31"/>
        <v>1.1363318374771223</v>
      </c>
      <c r="M36" s="11"/>
      <c r="N36" s="11">
        <f t="shared" si="32"/>
        <v>0.91675188474459934</v>
      </c>
      <c r="O36" s="11"/>
      <c r="P36" s="11">
        <f t="shared" si="33"/>
        <v>1.6029929768035502</v>
      </c>
      <c r="Q36" s="11"/>
      <c r="R36" s="11">
        <f t="shared" si="34"/>
        <v>2.055629887190078</v>
      </c>
      <c r="S36" s="11"/>
      <c r="T36" s="11">
        <f t="shared" si="35"/>
        <v>7.3706607444120626</v>
      </c>
      <c r="U36" s="12">
        <f t="shared" si="36"/>
        <v>2.0057214913631003</v>
      </c>
    </row>
    <row r="37" spans="1:21" x14ac:dyDescent="0.2">
      <c r="A37" s="61" t="s">
        <v>83</v>
      </c>
      <c r="B37" s="58" t="s">
        <v>4</v>
      </c>
      <c r="C37" s="43">
        <f t="shared" si="22"/>
        <v>36.727262721681605</v>
      </c>
      <c r="D37" s="43">
        <f t="shared" si="23"/>
        <v>12.598386002774841</v>
      </c>
      <c r="E37" s="43">
        <f t="shared" si="24"/>
        <v>34.51089843382448</v>
      </c>
      <c r="F37" s="43">
        <f t="shared" si="25"/>
        <v>0.58871654992530142</v>
      </c>
      <c r="G37" s="43">
        <f t="shared" si="26"/>
        <v>0.40242940571045616</v>
      </c>
      <c r="H37" s="43">
        <f t="shared" si="27"/>
        <v>3.1352535961902879</v>
      </c>
      <c r="I37" s="43">
        <f t="shared" si="28"/>
        <v>2.0336442514612463</v>
      </c>
      <c r="J37" s="43">
        <f t="shared" si="29"/>
        <v>4.2426116428733689</v>
      </c>
      <c r="K37" s="43">
        <f t="shared" si="30"/>
        <v>3.1118058567658418</v>
      </c>
      <c r="L37" s="43">
        <f t="shared" si="31"/>
        <v>1.5187612143800608</v>
      </c>
      <c r="M37" s="43"/>
      <c r="N37" s="43">
        <f t="shared" si="32"/>
        <v>0.95282776209900577</v>
      </c>
      <c r="O37" s="43"/>
      <c r="P37" s="43">
        <f t="shared" si="33"/>
        <v>1.4257524170765052</v>
      </c>
      <c r="Q37" s="43"/>
      <c r="R37" s="43">
        <f t="shared" si="34"/>
        <v>1.958745148938303</v>
      </c>
      <c r="S37" s="43"/>
      <c r="T37" s="43">
        <f t="shared" si="35"/>
        <v>7.6432446328377823</v>
      </c>
      <c r="U37" s="44">
        <f t="shared" si="36"/>
        <v>3.0000828391342398</v>
      </c>
    </row>
    <row r="38" spans="1:21" x14ac:dyDescent="0.2">
      <c r="A38" s="62" t="s">
        <v>84</v>
      </c>
      <c r="B38" s="57" t="s">
        <v>5</v>
      </c>
      <c r="C38" s="45">
        <f t="shared" si="22"/>
        <v>36.045805809405095</v>
      </c>
      <c r="D38" s="45">
        <f t="shared" si="23"/>
        <v>12.427259585279529</v>
      </c>
      <c r="E38" s="45">
        <f t="shared" si="24"/>
        <v>36.382471510249708</v>
      </c>
      <c r="F38" s="45">
        <f t="shared" si="25"/>
        <v>1.0658488360059977</v>
      </c>
      <c r="G38" s="45">
        <f t="shared" si="26"/>
        <v>0.61274845973635339</v>
      </c>
      <c r="H38" s="45">
        <f t="shared" si="27"/>
        <v>3.4956232609545399</v>
      </c>
      <c r="I38" s="45">
        <f t="shared" si="28"/>
        <v>1.9887735808570066</v>
      </c>
      <c r="J38" s="45">
        <f t="shared" si="29"/>
        <v>5.5312537166734819</v>
      </c>
      <c r="K38" s="45">
        <f t="shared" si="30"/>
        <v>3.1536927925116998</v>
      </c>
      <c r="L38" s="45">
        <f t="shared" si="31"/>
        <v>1.2575360063935865</v>
      </c>
      <c r="M38" s="45"/>
      <c r="N38" s="45">
        <f t="shared" si="32"/>
        <v>1.4608914165586486</v>
      </c>
      <c r="O38" s="45"/>
      <c r="P38" s="45">
        <f t="shared" si="33"/>
        <v>1.5513293675244317</v>
      </c>
      <c r="Q38" s="45"/>
      <c r="R38" s="45">
        <f t="shared" si="34"/>
        <v>1.9589366988323531</v>
      </c>
      <c r="S38" s="45"/>
      <c r="T38" s="45">
        <f t="shared" si="35"/>
        <v>8.2254094472761867</v>
      </c>
      <c r="U38" s="46">
        <f t="shared" si="36"/>
        <v>7.1865539184538685</v>
      </c>
    </row>
    <row r="39" spans="1:21" ht="16" thickBot="1" x14ac:dyDescent="0.25">
      <c r="A39" s="86" t="s">
        <v>85</v>
      </c>
      <c r="B39" s="87" t="s">
        <v>6</v>
      </c>
      <c r="C39" s="101">
        <f t="shared" si="22"/>
        <v>37.143336427880307</v>
      </c>
      <c r="D39" s="101">
        <f t="shared" si="23"/>
        <v>12.793902980761498</v>
      </c>
      <c r="E39" s="101">
        <f t="shared" si="24"/>
        <v>35.940172727530879</v>
      </c>
      <c r="F39" s="101">
        <f t="shared" si="25"/>
        <v>0.818329155638851</v>
      </c>
      <c r="G39" s="101">
        <f t="shared" si="26"/>
        <v>0.37223803079130369</v>
      </c>
      <c r="H39" s="101">
        <f t="shared" si="27"/>
        <v>3.3135244201831289</v>
      </c>
      <c r="I39" s="101">
        <f t="shared" si="28"/>
        <v>1.8108822247496474</v>
      </c>
      <c r="J39" s="101">
        <f t="shared" si="29"/>
        <v>5.5570681282470735</v>
      </c>
      <c r="K39" s="101">
        <f t="shared" si="30"/>
        <v>3.1297239086972719</v>
      </c>
      <c r="L39" s="101">
        <f t="shared" si="31"/>
        <v>1.304691447380897</v>
      </c>
      <c r="M39" s="101"/>
      <c r="N39" s="101">
        <f t="shared" si="32"/>
        <v>1.5729447727580823</v>
      </c>
      <c r="O39" s="101"/>
      <c r="P39" s="101">
        <f t="shared" si="33"/>
        <v>1.6079379237387046</v>
      </c>
      <c r="Q39" s="101"/>
      <c r="R39" s="101">
        <f t="shared" si="34"/>
        <v>2.0062749285846966</v>
      </c>
      <c r="S39" s="101"/>
      <c r="T39" s="101">
        <f t="shared" si="35"/>
        <v>8.9996082168652443</v>
      </c>
      <c r="U39" s="102">
        <f t="shared" si="36"/>
        <v>6.4442510522872265</v>
      </c>
    </row>
    <row r="40" spans="1:21" x14ac:dyDescent="0.2">
      <c r="A40" s="21"/>
      <c r="B40" s="72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85"/>
    </row>
    <row r="41" spans="1:21" x14ac:dyDescent="0.2">
      <c r="A41" s="21"/>
      <c r="B41" s="72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85"/>
    </row>
    <row r="42" spans="1:21" x14ac:dyDescent="0.2">
      <c r="A42" s="21"/>
      <c r="B42" s="72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85"/>
    </row>
    <row r="43" spans="1:21" x14ac:dyDescent="0.2">
      <c r="A43" s="21"/>
      <c r="B43" s="72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85"/>
    </row>
    <row r="44" spans="1:21" ht="16" thickBot="1" x14ac:dyDescent="0.25"/>
    <row r="45" spans="1:21" ht="16" thickBot="1" x14ac:dyDescent="0.25">
      <c r="A45" s="77" t="s">
        <v>81</v>
      </c>
      <c r="B45" s="5"/>
      <c r="C45" s="15" t="s">
        <v>51</v>
      </c>
      <c r="D45" s="15" t="s">
        <v>9</v>
      </c>
      <c r="E45" s="15" t="s">
        <v>52</v>
      </c>
      <c r="F45" s="15" t="s">
        <v>13</v>
      </c>
      <c r="G45" s="15" t="s">
        <v>14</v>
      </c>
      <c r="H45" s="15" t="s">
        <v>16</v>
      </c>
      <c r="I45" s="15" t="s">
        <v>18</v>
      </c>
      <c r="J45" s="15" t="s">
        <v>54</v>
      </c>
      <c r="K45" s="15" t="s">
        <v>56</v>
      </c>
      <c r="L45" s="15" t="s">
        <v>57</v>
      </c>
      <c r="M45" s="15"/>
      <c r="N45" s="15" t="s">
        <v>26</v>
      </c>
      <c r="O45" s="15"/>
      <c r="P45" s="15" t="s">
        <v>60</v>
      </c>
      <c r="Q45" s="15"/>
      <c r="R45" s="15" t="s">
        <v>62</v>
      </c>
      <c r="S45" s="15"/>
      <c r="T45" s="15" t="s">
        <v>35</v>
      </c>
      <c r="U45" s="16" t="s">
        <v>36</v>
      </c>
    </row>
    <row r="46" spans="1:21" ht="16" thickTop="1" x14ac:dyDescent="0.2">
      <c r="B46" s="32" t="s">
        <v>67</v>
      </c>
      <c r="C46" s="11">
        <f t="shared" ref="C46:L46" si="37">AVERAGE(C33:C36)</f>
        <v>36.602534607002227</v>
      </c>
      <c r="D46" s="11">
        <f t="shared" si="37"/>
        <v>12.426790734768515</v>
      </c>
      <c r="E46" s="11">
        <f t="shared" si="37"/>
        <v>34.862553458564477</v>
      </c>
      <c r="F46" s="11">
        <f t="shared" si="37"/>
        <v>-5.1790181731455123E-2</v>
      </c>
      <c r="G46" s="11">
        <f t="shared" si="37"/>
        <v>0.29243580767415883</v>
      </c>
      <c r="H46" s="11">
        <f t="shared" si="37"/>
        <v>1.8870656229822607</v>
      </c>
      <c r="I46" s="11">
        <f t="shared" si="37"/>
        <v>2.1330495827889706</v>
      </c>
      <c r="J46" s="11">
        <f t="shared" si="37"/>
        <v>4.6322342166555739</v>
      </c>
      <c r="K46" s="11">
        <f t="shared" si="37"/>
        <v>3.1266591075665136</v>
      </c>
      <c r="L46" s="11">
        <f t="shared" si="37"/>
        <v>1.3324431668625594</v>
      </c>
      <c r="M46" s="11"/>
      <c r="N46" s="11">
        <f>AVERAGE(N33:N36)</f>
        <v>1.1828712202863179</v>
      </c>
      <c r="O46" s="11"/>
      <c r="P46" s="11">
        <f>AVERAGE(P33:P36)</f>
        <v>0.96005664327196616</v>
      </c>
      <c r="Q46" s="11"/>
      <c r="R46" s="11">
        <f>AVERAGE(R33:R36)</f>
        <v>1.7184510673439259</v>
      </c>
      <c r="S46" s="11"/>
      <c r="T46" s="11">
        <f>AVERAGE(T33:T36)</f>
        <v>5.6007329153786545</v>
      </c>
      <c r="U46" s="12">
        <f>AVERAGE(U33:U36)</f>
        <v>5.3955642407357383</v>
      </c>
    </row>
    <row r="47" spans="1:21" x14ac:dyDescent="0.2">
      <c r="B47" s="34" t="s">
        <v>86</v>
      </c>
      <c r="C47" s="45">
        <f t="shared" ref="C47:L47" si="38">AVERAGE(C37:C39)</f>
        <v>36.638801652989002</v>
      </c>
      <c r="D47" s="45">
        <f t="shared" si="38"/>
        <v>12.606516189605289</v>
      </c>
      <c r="E47" s="45">
        <f t="shared" si="38"/>
        <v>35.611180890535017</v>
      </c>
      <c r="F47" s="76">
        <f t="shared" si="38"/>
        <v>0.82429818052338344</v>
      </c>
      <c r="G47" s="76">
        <f t="shared" si="38"/>
        <v>0.46247196541270447</v>
      </c>
      <c r="H47" s="76">
        <f t="shared" si="38"/>
        <v>3.3148004257759855</v>
      </c>
      <c r="I47" s="45">
        <f t="shared" si="38"/>
        <v>1.9444333523559667</v>
      </c>
      <c r="J47" s="76">
        <f t="shared" si="38"/>
        <v>5.1103111625979745</v>
      </c>
      <c r="K47" s="45">
        <f t="shared" si="38"/>
        <v>3.1317408526582713</v>
      </c>
      <c r="L47" s="45">
        <f t="shared" si="38"/>
        <v>1.360329556051515</v>
      </c>
      <c r="M47" s="45"/>
      <c r="N47" s="45">
        <f>AVERAGE(N37:N39)</f>
        <v>1.3288879838052454</v>
      </c>
      <c r="O47" s="45"/>
      <c r="P47" s="76">
        <f>AVERAGE(P37:P39)</f>
        <v>1.5283399027798807</v>
      </c>
      <c r="Q47" s="45"/>
      <c r="R47" s="45">
        <f>AVERAGE(R37:R39)</f>
        <v>1.9746522587851176</v>
      </c>
      <c r="S47" s="45"/>
      <c r="T47" s="45">
        <f>AVERAGE(T37:T39)</f>
        <v>8.2894207656597381</v>
      </c>
      <c r="U47" s="46">
        <f>AVERAGE(U37:U39)</f>
        <v>5.5436292699584442</v>
      </c>
    </row>
    <row r="48" spans="1:21" x14ac:dyDescent="0.2">
      <c r="B48" s="93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11"/>
      <c r="O48" s="98"/>
      <c r="P48" s="98"/>
      <c r="Q48" s="98"/>
      <c r="R48" s="98"/>
      <c r="S48" s="98"/>
      <c r="T48" s="98"/>
      <c r="U48" s="99"/>
    </row>
    <row r="49" spans="2:21" x14ac:dyDescent="0.2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72"/>
      <c r="N49" s="21"/>
      <c r="O49" s="72"/>
      <c r="P49" s="21"/>
      <c r="Q49" s="72"/>
      <c r="R49" s="21"/>
      <c r="S49" s="72"/>
      <c r="T49" s="21"/>
      <c r="U49" s="31"/>
    </row>
    <row r="50" spans="2:21" x14ac:dyDescent="0.2">
      <c r="B50" s="20" t="s">
        <v>88</v>
      </c>
      <c r="C50" s="27">
        <f t="array" ref="C50">TTEST(C33:C36,C37:C39,2,2)</f>
        <v>0.96029675851278196</v>
      </c>
      <c r="D50" s="38">
        <f t="array" ref="D50">TTEST(D33:D36,D37:D39,2,2)</f>
        <v>0.52519161481942478</v>
      </c>
      <c r="E50" s="27">
        <f t="array" ref="E50">TTEST(E33:E36,E37:E39,2,2)</f>
        <v>0.56343054878564525</v>
      </c>
      <c r="F50" s="80">
        <f t="array" ref="F50">TTEST(F33:F36,F37:F39,2,2)</f>
        <v>3.1754983157851732E-2</v>
      </c>
      <c r="G50" s="27">
        <f t="array" ref="G50">TTEST(G33:G36,G37:G39,2,2)</f>
        <v>0.14496671771508721</v>
      </c>
      <c r="H50" s="79">
        <f t="array" ref="H50">TTEST(H33:H36,H37:H39,2,2)</f>
        <v>3.5011069044798213E-2</v>
      </c>
      <c r="I50" s="27">
        <f t="array" ref="I50">TTEST(I33:I36,I37:I39,2,2)</f>
        <v>0.28399847862317851</v>
      </c>
      <c r="J50" s="27">
        <f t="array" ref="J50">TTEST(J33:J36,J37:J39,2,2)</f>
        <v>0.5300156519004362</v>
      </c>
      <c r="K50" s="27">
        <f t="array" ref="K50">TTEST(K33:K36,K37:K39,2,2)</f>
        <v>0.97131629827788069</v>
      </c>
      <c r="L50" s="27">
        <f t="array" ref="L50">TTEST(L33:L36,L37:L39,2,2)</f>
        <v>0.80755449432728721</v>
      </c>
      <c r="M50" s="73"/>
      <c r="N50" s="27">
        <f t="array" ref="N50">TTEST(N33:N36,N37:N39,2,2)</f>
        <v>0.60804945076070771</v>
      </c>
      <c r="O50" s="74"/>
      <c r="P50" s="79">
        <f t="array" ref="P50">TTEST(P33:P36,P37:P39,2,2)</f>
        <v>8.8145606803495813E-2</v>
      </c>
      <c r="Q50" s="74"/>
      <c r="R50" s="27">
        <f t="array" ref="R50">TTEST(R33:R36,R37:R39,2,2)</f>
        <v>0.27691570510912755</v>
      </c>
      <c r="S50" s="73"/>
      <c r="T50" s="79">
        <f t="array" ref="T50">TTEST(T33:T36,T37:T39,2,2)</f>
        <v>2.1289241424078592E-2</v>
      </c>
      <c r="U50" s="56">
        <f t="array" ref="U50">TTEST(U33:U36,U37:U39,2,2)</f>
        <v>0.94155950978963676</v>
      </c>
    </row>
    <row r="51" spans="2:21" x14ac:dyDescent="0.2">
      <c r="B51" s="9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4"/>
      <c r="O51" s="73"/>
      <c r="P51" s="73"/>
      <c r="Q51" s="73"/>
      <c r="R51" s="74"/>
      <c r="S51" s="74"/>
      <c r="T51" s="74"/>
      <c r="U51" s="89"/>
    </row>
    <row r="52" spans="2:21" ht="16" thickBot="1" x14ac:dyDescent="0.25">
      <c r="B52" s="78"/>
      <c r="C52" s="90"/>
      <c r="D52" s="104"/>
      <c r="E52" s="90"/>
      <c r="F52" s="112"/>
      <c r="G52" s="104"/>
      <c r="H52" s="104"/>
      <c r="I52" s="90"/>
      <c r="J52" s="90"/>
      <c r="K52" s="90"/>
      <c r="L52" s="90"/>
      <c r="M52" s="112"/>
      <c r="N52" s="90"/>
      <c r="O52" s="112"/>
      <c r="P52" s="104"/>
      <c r="Q52" s="112"/>
      <c r="R52" s="112"/>
      <c r="S52" s="112"/>
      <c r="T52" s="112"/>
      <c r="U52" s="91"/>
    </row>
  </sheetData>
  <mergeCells count="1">
    <mergeCell ref="AN4:AW4"/>
  </mergeCells>
  <phoneticPr fontId="9" type="noConversion"/>
  <pageMargins left="0.7" right="0.7" top="0.75" bottom="0.75" header="0.3" footer="0.3"/>
  <pageSetup scale="56" fitToWidth="2" fitToHeight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9"/>
  <sheetViews>
    <sheetView zoomScale="51" zoomScaleNormal="51" zoomScalePageLayoutView="125" workbookViewId="0">
      <selection activeCell="A15" sqref="A15:O15"/>
    </sheetView>
  </sheetViews>
  <sheetFormatPr baseColWidth="10" defaultColWidth="8.83203125" defaultRowHeight="15" x14ac:dyDescent="0.2"/>
  <cols>
    <col min="1" max="1" width="16" customWidth="1"/>
    <col min="2" max="2" width="16.33203125" customWidth="1"/>
    <col min="3" max="3" width="12.33203125" bestFit="1" customWidth="1"/>
    <col min="4" max="4" width="12.5" bestFit="1" customWidth="1"/>
    <col min="5" max="7" width="12.1640625" bestFit="1" customWidth="1"/>
    <col min="8" max="10" width="10.5" bestFit="1" customWidth="1"/>
    <col min="11" max="11" width="12.1640625" bestFit="1" customWidth="1"/>
    <col min="12" max="12" width="11.33203125" bestFit="1" customWidth="1"/>
    <col min="13" max="13" width="12.83203125" bestFit="1" customWidth="1"/>
    <col min="14" max="15" width="10.5" bestFit="1" customWidth="1"/>
    <col min="21" max="22" width="11.83203125" bestFit="1" customWidth="1"/>
    <col min="23" max="23" width="9.6640625" customWidth="1"/>
    <col min="24" max="24" width="9.83203125" bestFit="1" customWidth="1"/>
  </cols>
  <sheetData>
    <row r="1" spans="1:15" ht="20" thickBot="1" x14ac:dyDescent="0.3">
      <c r="A1" s="183" t="s">
        <v>80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5"/>
    </row>
    <row r="2" spans="1:15" ht="16" thickBot="1" x14ac:dyDescent="0.25">
      <c r="A2" s="13"/>
      <c r="B2" s="17"/>
      <c r="C2" s="18" t="s">
        <v>51</v>
      </c>
      <c r="D2" s="18" t="s">
        <v>9</v>
      </c>
      <c r="E2" s="18" t="s">
        <v>52</v>
      </c>
      <c r="F2" s="18" t="s">
        <v>53</v>
      </c>
      <c r="G2" s="18" t="s">
        <v>68</v>
      </c>
      <c r="H2" s="18" t="s">
        <v>54</v>
      </c>
      <c r="I2" s="18" t="s">
        <v>55</v>
      </c>
      <c r="J2" s="18" t="s">
        <v>57</v>
      </c>
      <c r="K2" s="18" t="s">
        <v>69</v>
      </c>
      <c r="L2" s="18" t="s">
        <v>70</v>
      </c>
      <c r="M2" s="18" t="s">
        <v>71</v>
      </c>
      <c r="N2" s="19" t="s">
        <v>72</v>
      </c>
    </row>
    <row r="3" spans="1:15" ht="16" thickTop="1" x14ac:dyDescent="0.2">
      <c r="A3" s="7" t="s">
        <v>63</v>
      </c>
      <c r="B3" s="8" t="s">
        <v>0</v>
      </c>
      <c r="C3" s="9">
        <v>8.2474675353867807E-2</v>
      </c>
      <c r="D3" s="9">
        <v>1.1577049998292429E-2</v>
      </c>
      <c r="E3" s="9">
        <v>1.1512413085058126E-2</v>
      </c>
      <c r="F3" s="9">
        <v>6.1756711675182343E-3</v>
      </c>
      <c r="G3" s="9">
        <v>9.0164152676633878E-3</v>
      </c>
      <c r="H3" s="9">
        <v>1.9070783594263868E-2</v>
      </c>
      <c r="I3" s="9">
        <v>1.3873782824216346E-2</v>
      </c>
      <c r="J3" s="9">
        <v>2.0915347446562156E-4</v>
      </c>
      <c r="K3" s="9">
        <v>4.2744776613863134E-3</v>
      </c>
      <c r="L3" s="9">
        <v>1.9272170991840892E-2</v>
      </c>
      <c r="M3" s="9">
        <v>9.3212313737157756E-2</v>
      </c>
      <c r="N3" s="10">
        <v>1.7669030834122964E-3</v>
      </c>
    </row>
    <row r="4" spans="1:15" x14ac:dyDescent="0.2">
      <c r="A4" s="7" t="s">
        <v>64</v>
      </c>
      <c r="B4" s="8" t="s">
        <v>1</v>
      </c>
      <c r="C4" s="9">
        <v>0.11823442066441424</v>
      </c>
      <c r="D4" s="9">
        <v>1.6954096604991295E-2</v>
      </c>
      <c r="E4" s="9">
        <v>1.2286148006827591E-2</v>
      </c>
      <c r="F4" s="9">
        <v>7.1918768140184636E-3</v>
      </c>
      <c r="G4" s="9">
        <v>6.891436677506824E-3</v>
      </c>
      <c r="H4" s="9">
        <v>2.7353514712575085E-2</v>
      </c>
      <c r="I4" s="9">
        <v>1.1273562774959738E-2</v>
      </c>
      <c r="J4" s="9">
        <v>1.8003301274999422E-4</v>
      </c>
      <c r="K4" s="9">
        <v>6.5503585088203115E-3</v>
      </c>
      <c r="L4" s="9">
        <v>1.7285781310121935E-2</v>
      </c>
      <c r="M4" s="9">
        <v>8.7970238292579772E-2</v>
      </c>
      <c r="N4" s="10">
        <v>1.4412687505086033E-3</v>
      </c>
    </row>
    <row r="5" spans="1:15" x14ac:dyDescent="0.2">
      <c r="A5" s="7" t="s">
        <v>65</v>
      </c>
      <c r="B5" s="8" t="s">
        <v>2</v>
      </c>
      <c r="C5" s="9">
        <v>0.11522187930546869</v>
      </c>
      <c r="D5" s="9">
        <v>1.5273068734359662E-2</v>
      </c>
      <c r="E5" s="9">
        <v>1.3261013863530345E-2</v>
      </c>
      <c r="F5" s="9">
        <v>8.4450700089234599E-3</v>
      </c>
      <c r="G5" s="9">
        <v>8.709115628821389E-3</v>
      </c>
      <c r="H5" s="9">
        <v>2.2832957717128073E-2</v>
      </c>
      <c r="I5" s="9">
        <v>1.1592324259929274E-2</v>
      </c>
      <c r="J5" s="9">
        <v>1.6817581714500231E-4</v>
      </c>
      <c r="K5" s="9">
        <v>5.9706703998704241E-3</v>
      </c>
      <c r="L5" s="9">
        <v>1.8912589193606291E-2</v>
      </c>
      <c r="M5" s="9">
        <v>9.4455622246739104E-2</v>
      </c>
      <c r="N5" s="10">
        <v>2.0175547700398795E-3</v>
      </c>
    </row>
    <row r="6" spans="1:15" x14ac:dyDescent="0.2">
      <c r="A6" s="7" t="s">
        <v>66</v>
      </c>
      <c r="B6" s="8" t="s">
        <v>3</v>
      </c>
      <c r="C6" s="9">
        <v>0.12989384128719353</v>
      </c>
      <c r="D6" s="9">
        <v>1.7617823934820427E-2</v>
      </c>
      <c r="E6" s="9">
        <v>1.6504236828183631E-2</v>
      </c>
      <c r="F6" s="9">
        <v>1.1777013039654846E-2</v>
      </c>
      <c r="G6" s="9">
        <v>1.1540367556110966E-2</v>
      </c>
      <c r="H6" s="9">
        <v>3.2868394191227404E-2</v>
      </c>
      <c r="I6" s="9">
        <v>1.7361536312253244E-2</v>
      </c>
      <c r="J6" s="9">
        <v>2.2174941160515841E-4</v>
      </c>
      <c r="K6" s="9">
        <v>9.322685477006527E-3</v>
      </c>
      <c r="L6" s="9">
        <v>2.027082844433601E-2</v>
      </c>
      <c r="M6" s="9">
        <v>0.11358597885847971</v>
      </c>
      <c r="N6" s="10">
        <v>1.3824212629820207E-3</v>
      </c>
    </row>
    <row r="7" spans="1:15" x14ac:dyDescent="0.2">
      <c r="A7" s="61" t="s">
        <v>83</v>
      </c>
      <c r="B7" s="39" t="s">
        <v>4</v>
      </c>
      <c r="C7" s="40">
        <v>0.15478126133194883</v>
      </c>
      <c r="D7" s="40">
        <v>2.1676404081886067E-2</v>
      </c>
      <c r="E7" s="40">
        <v>1.5888258323892856E-2</v>
      </c>
      <c r="F7" s="40">
        <v>1.0821758061599011E-2</v>
      </c>
      <c r="G7" s="40">
        <v>1.2233195872763641E-2</v>
      </c>
      <c r="H7" s="40">
        <v>3.5070441418492304E-2</v>
      </c>
      <c r="I7" s="40">
        <v>1.6253490127763646E-2</v>
      </c>
      <c r="J7" s="40">
        <v>2.6679287964446812E-4</v>
      </c>
      <c r="K7" s="40">
        <v>9.7982271995565758E-3</v>
      </c>
      <c r="L7" s="40">
        <v>1.9378431077906221E-2</v>
      </c>
      <c r="M7" s="40">
        <v>0.11707712878672676</v>
      </c>
      <c r="N7" s="41">
        <v>2.2317921732956975E-3</v>
      </c>
    </row>
    <row r="8" spans="1:15" x14ac:dyDescent="0.2">
      <c r="A8" s="62" t="s">
        <v>84</v>
      </c>
      <c r="B8" s="42" t="s">
        <v>5</v>
      </c>
      <c r="C8" s="35">
        <v>7.2242035911100844E-2</v>
      </c>
      <c r="D8" s="35">
        <v>9.9955434238604372E-3</v>
      </c>
      <c r="E8" s="35">
        <v>1.1183204637451602E-2</v>
      </c>
      <c r="F8" s="35">
        <v>6.8291056873680039E-3</v>
      </c>
      <c r="G8" s="35">
        <v>9.0772446844200987E-3</v>
      </c>
      <c r="H8" s="35">
        <v>1.9415538859006511E-2</v>
      </c>
      <c r="I8" s="35">
        <v>1.463898467749032E-2</v>
      </c>
      <c r="J8" s="35">
        <v>2.0319271658306935E-4</v>
      </c>
      <c r="K8" s="35">
        <v>5.1133754344860963E-3</v>
      </c>
      <c r="L8" s="35">
        <v>1.8127806628937874E-2</v>
      </c>
      <c r="M8" s="35">
        <v>9.2210264115298313E-2</v>
      </c>
      <c r="N8" s="37">
        <v>1.706062593497008E-3</v>
      </c>
    </row>
    <row r="9" spans="1:15" ht="16" thickBot="1" x14ac:dyDescent="0.25">
      <c r="A9" s="86" t="s">
        <v>85</v>
      </c>
      <c r="B9" s="88" t="s">
        <v>6</v>
      </c>
      <c r="C9" s="96">
        <v>0.10941018369778692</v>
      </c>
      <c r="D9" s="96">
        <v>1.5847702993149592E-2</v>
      </c>
      <c r="E9" s="96">
        <v>1.5987894796235035E-2</v>
      </c>
      <c r="F9" s="96">
        <v>9.6966392753816601E-3</v>
      </c>
      <c r="G9" s="96">
        <v>1.2333365568427913E-2</v>
      </c>
      <c r="H9" s="96">
        <v>2.6289547393161194E-2</v>
      </c>
      <c r="I9" s="96">
        <v>2.0016854349451878E-2</v>
      </c>
      <c r="J9" s="96">
        <v>2.9021079995303838E-4</v>
      </c>
      <c r="K9" s="96">
        <v>7.2471044078572166E-3</v>
      </c>
      <c r="L9" s="96">
        <v>2.2507834338579297E-2</v>
      </c>
      <c r="M9" s="96">
        <v>0.11773267744648108</v>
      </c>
      <c r="N9" s="97">
        <v>1.8067319505664617E-3</v>
      </c>
    </row>
    <row r="10" spans="1:15" x14ac:dyDescent="0.2">
      <c r="A10" s="85"/>
      <c r="B10" s="8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5" x14ac:dyDescent="0.2">
      <c r="A11" s="85"/>
      <c r="B11" s="8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spans="1:15" x14ac:dyDescent="0.2">
      <c r="A12" s="85"/>
      <c r="B12" s="8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</row>
    <row r="13" spans="1:15" x14ac:dyDescent="0.2">
      <c r="A13" s="85"/>
      <c r="B13" s="8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</row>
    <row r="14" spans="1:15" ht="16" thickBot="1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ht="20" thickBot="1" x14ac:dyDescent="0.3">
      <c r="A15" s="183" t="s">
        <v>81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90"/>
    </row>
    <row r="16" spans="1:15" ht="16" thickBot="1" x14ac:dyDescent="0.25">
      <c r="A16" s="13"/>
      <c r="B16" s="14"/>
      <c r="C16" s="15" t="s">
        <v>51</v>
      </c>
      <c r="D16" s="15" t="s">
        <v>9</v>
      </c>
      <c r="E16" s="15" t="s">
        <v>52</v>
      </c>
      <c r="F16" s="15" t="s">
        <v>14</v>
      </c>
      <c r="G16" s="15" t="s">
        <v>18</v>
      </c>
      <c r="H16" s="15" t="s">
        <v>54</v>
      </c>
      <c r="I16" s="15" t="s">
        <v>56</v>
      </c>
      <c r="J16" s="15" t="s">
        <v>57</v>
      </c>
      <c r="K16" s="15" t="s">
        <v>26</v>
      </c>
      <c r="L16" s="15" t="s">
        <v>60</v>
      </c>
      <c r="M16" s="15" t="s">
        <v>62</v>
      </c>
      <c r="N16" s="15" t="s">
        <v>36</v>
      </c>
      <c r="O16" s="16" t="s">
        <v>75</v>
      </c>
    </row>
    <row r="17" spans="1:15" ht="16" thickTop="1" x14ac:dyDescent="0.2">
      <c r="A17" s="7" t="s">
        <v>63</v>
      </c>
      <c r="B17" s="8" t="s">
        <v>0</v>
      </c>
      <c r="C17" s="11">
        <v>37.373217868777473</v>
      </c>
      <c r="D17" s="11">
        <v>12.660658787187499</v>
      </c>
      <c r="E17" s="11">
        <v>37.21807354899699</v>
      </c>
      <c r="F17" s="11">
        <v>0.38574003712587357</v>
      </c>
      <c r="G17" s="11">
        <v>2.1146894295392396</v>
      </c>
      <c r="H17" s="11">
        <v>6.1628246795643795</v>
      </c>
      <c r="I17" s="11">
        <v>3.1356189035198092</v>
      </c>
      <c r="J17" s="11">
        <v>1.3867244187454308</v>
      </c>
      <c r="K17" s="11">
        <v>1.5758765394054339</v>
      </c>
      <c r="L17" s="11">
        <v>0.90497686400756883</v>
      </c>
      <c r="M17" s="11">
        <v>1.5423548731668471</v>
      </c>
      <c r="N17" s="11">
        <v>8.2015606004800397</v>
      </c>
      <c r="O17" s="12">
        <f>'MLE12 Exp 1 Nov 17 FLUX'!T33</f>
        <v>5.1039367195990737</v>
      </c>
    </row>
    <row r="18" spans="1:15" x14ac:dyDescent="0.2">
      <c r="A18" s="7" t="s">
        <v>64</v>
      </c>
      <c r="B18" s="8" t="s">
        <v>1</v>
      </c>
      <c r="C18" s="11">
        <v>37.677917641294187</v>
      </c>
      <c r="D18" s="11">
        <v>12.89688516707348</v>
      </c>
      <c r="E18" s="11">
        <v>34.97662012638709</v>
      </c>
      <c r="F18" s="11">
        <v>0.14989834593896598</v>
      </c>
      <c r="G18" s="11">
        <v>2.4797845940449803</v>
      </c>
      <c r="H18" s="11">
        <v>4.0018902696698531</v>
      </c>
      <c r="I18" s="11">
        <v>3.3366260245417139</v>
      </c>
      <c r="J18" s="11">
        <v>1.4769703078047085</v>
      </c>
      <c r="K18" s="11">
        <v>0.83695413724228684</v>
      </c>
      <c r="L18" s="11">
        <v>0.58650806943868927</v>
      </c>
      <c r="M18" s="11">
        <v>1.3070602088338055</v>
      </c>
      <c r="N18" s="11">
        <v>4.6568819135838169</v>
      </c>
      <c r="O18" s="12">
        <f>'MLE12 Exp 1 Nov 17 FLUX'!T34</f>
        <v>4.4412720419434937</v>
      </c>
    </row>
    <row r="19" spans="1:15" x14ac:dyDescent="0.2">
      <c r="A19" s="7" t="s">
        <v>65</v>
      </c>
      <c r="B19" s="8" t="s">
        <v>2</v>
      </c>
      <c r="C19" s="11">
        <v>35.83684461502628</v>
      </c>
      <c r="D19" s="11">
        <v>12.0334375561416</v>
      </c>
      <c r="E19" s="11">
        <v>34.637610183482479</v>
      </c>
      <c r="F19" s="11">
        <v>0.22051914329115968</v>
      </c>
      <c r="G19" s="11">
        <v>2.0382569980794485</v>
      </c>
      <c r="H19" s="11">
        <v>4.3112093113212051</v>
      </c>
      <c r="I19" s="11">
        <v>3.2245243383421185</v>
      </c>
      <c r="J19" s="11">
        <v>1.3297461034229754</v>
      </c>
      <c r="K19" s="11">
        <v>1.4019023197529514</v>
      </c>
      <c r="L19" s="11">
        <v>0.7457486628380563</v>
      </c>
      <c r="M19" s="11">
        <v>1.9687593001849732</v>
      </c>
      <c r="N19" s="11">
        <v>6.7180929575159958</v>
      </c>
      <c r="O19" s="12">
        <f>'MLE12 Exp 1 Nov 17 FLUX'!T35</f>
        <v>5.487062155559987</v>
      </c>
    </row>
    <row r="20" spans="1:15" x14ac:dyDescent="0.2">
      <c r="A20" s="7" t="s">
        <v>66</v>
      </c>
      <c r="B20" s="8" t="s">
        <v>3</v>
      </c>
      <c r="C20" s="11">
        <v>35.522158302910952</v>
      </c>
      <c r="D20" s="11">
        <v>12.116181428671483</v>
      </c>
      <c r="E20" s="11">
        <v>32.617909975391328</v>
      </c>
      <c r="F20" s="11">
        <v>0.41358570434063613</v>
      </c>
      <c r="G20" s="11">
        <v>1.8994673094922148</v>
      </c>
      <c r="H20" s="11">
        <v>4.0530126060668588</v>
      </c>
      <c r="I20" s="11">
        <v>2.8098671638624126</v>
      </c>
      <c r="J20" s="11">
        <v>1.1363318374771223</v>
      </c>
      <c r="K20" s="11">
        <v>0.91675188474459934</v>
      </c>
      <c r="L20" s="11">
        <v>1.6029929768035502</v>
      </c>
      <c r="M20" s="11">
        <v>2.055629887190078</v>
      </c>
      <c r="N20" s="11">
        <v>2.0057214913631003</v>
      </c>
      <c r="O20" s="12">
        <f>'MLE12 Exp 1 Nov 17 FLUX'!T36</f>
        <v>7.3706607444120626</v>
      </c>
    </row>
    <row r="21" spans="1:15" x14ac:dyDescent="0.2">
      <c r="A21" s="61" t="s">
        <v>83</v>
      </c>
      <c r="B21" s="39" t="s">
        <v>4</v>
      </c>
      <c r="C21" s="43">
        <v>36.727262721681605</v>
      </c>
      <c r="D21" s="43">
        <v>12.598386002774841</v>
      </c>
      <c r="E21" s="43">
        <v>34.51089843382448</v>
      </c>
      <c r="F21" s="43">
        <v>0.40242940571045616</v>
      </c>
      <c r="G21" s="43">
        <v>2.0336442514612463</v>
      </c>
      <c r="H21" s="43">
        <v>4.2426116428733689</v>
      </c>
      <c r="I21" s="43">
        <v>3.1118058567658418</v>
      </c>
      <c r="J21" s="43">
        <v>1.5187612143800608</v>
      </c>
      <c r="K21" s="43">
        <v>0.95282776209900577</v>
      </c>
      <c r="L21" s="43">
        <v>1.4257524170765052</v>
      </c>
      <c r="M21" s="43">
        <v>1.958745148938303</v>
      </c>
      <c r="N21" s="43">
        <v>3.0000828391342398</v>
      </c>
      <c r="O21" s="44">
        <f>'MLE12 Exp 1 Nov 17 FLUX'!T37</f>
        <v>7.6432446328377823</v>
      </c>
    </row>
    <row r="22" spans="1:15" x14ac:dyDescent="0.2">
      <c r="A22" s="62" t="s">
        <v>84</v>
      </c>
      <c r="B22" s="42" t="s">
        <v>5</v>
      </c>
      <c r="C22" s="45">
        <v>36.045805809405095</v>
      </c>
      <c r="D22" s="45">
        <v>12.427259585279529</v>
      </c>
      <c r="E22" s="45">
        <v>36.382471510249708</v>
      </c>
      <c r="F22" s="45">
        <v>0.61274845973635339</v>
      </c>
      <c r="G22" s="45">
        <v>1.9887735808570066</v>
      </c>
      <c r="H22" s="45">
        <v>5.5312537166734819</v>
      </c>
      <c r="I22" s="45">
        <v>3.1536927925116998</v>
      </c>
      <c r="J22" s="45">
        <v>1.2575360063935865</v>
      </c>
      <c r="K22" s="45">
        <v>1.4608914165586486</v>
      </c>
      <c r="L22" s="45">
        <v>1.5513293675244317</v>
      </c>
      <c r="M22" s="45">
        <v>1.9589366988323531</v>
      </c>
      <c r="N22" s="45">
        <v>7.1865539184538685</v>
      </c>
      <c r="O22" s="46">
        <f>'MLE12 Exp 1 Nov 17 FLUX'!T38</f>
        <v>8.2254094472761867</v>
      </c>
    </row>
    <row r="23" spans="1:15" ht="16" thickBot="1" x14ac:dyDescent="0.25">
      <c r="A23" s="86" t="s">
        <v>85</v>
      </c>
      <c r="B23" s="88" t="s">
        <v>6</v>
      </c>
      <c r="C23" s="101">
        <v>37.143336427880307</v>
      </c>
      <c r="D23" s="101">
        <v>12.793902980761498</v>
      </c>
      <c r="E23" s="101">
        <v>35.940172727530879</v>
      </c>
      <c r="F23" s="101">
        <v>0.37223803079130369</v>
      </c>
      <c r="G23" s="101">
        <v>1.8108822247496474</v>
      </c>
      <c r="H23" s="101">
        <v>5.5570681282470735</v>
      </c>
      <c r="I23" s="101">
        <v>3.1297239086972719</v>
      </c>
      <c r="J23" s="101">
        <v>1.304691447380897</v>
      </c>
      <c r="K23" s="101">
        <v>1.5729447727580823</v>
      </c>
      <c r="L23" s="101">
        <v>1.6079379237387046</v>
      </c>
      <c r="M23" s="101">
        <v>2.0062749285846966</v>
      </c>
      <c r="N23" s="101">
        <v>6.4442510522872265</v>
      </c>
      <c r="O23" s="102">
        <f>'MLE12 Exp 1 Nov 17 FLUX'!T39</f>
        <v>8.9996082168652443</v>
      </c>
    </row>
    <row r="24" spans="1:15" x14ac:dyDescent="0.2">
      <c r="A24" s="85"/>
      <c r="B24" s="82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</row>
    <row r="25" spans="1:15" x14ac:dyDescent="0.2">
      <c r="A25" s="85"/>
      <c r="B25" s="82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</row>
    <row r="26" spans="1:15" x14ac:dyDescent="0.2">
      <c r="A26" s="85"/>
      <c r="B26" s="82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</row>
    <row r="27" spans="1:15" x14ac:dyDescent="0.2">
      <c r="A27" s="85"/>
      <c r="B27" s="82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</row>
    <row r="29" spans="1:15" ht="16" thickBot="1" x14ac:dyDescent="0.25"/>
    <row r="30" spans="1:15" ht="17" thickBot="1" x14ac:dyDescent="0.25">
      <c r="A30" s="186" t="s">
        <v>73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8"/>
    </row>
    <row r="31" spans="1:15" ht="16" thickBot="1" x14ac:dyDescent="0.25">
      <c r="A31" s="24"/>
      <c r="B31" s="25"/>
      <c r="C31" s="15" t="s">
        <v>51</v>
      </c>
      <c r="D31" s="15" t="s">
        <v>9</v>
      </c>
      <c r="E31" s="15" t="s">
        <v>52</v>
      </c>
      <c r="F31" s="15" t="s">
        <v>14</v>
      </c>
      <c r="G31" s="15" t="s">
        <v>18</v>
      </c>
      <c r="H31" s="15" t="s">
        <v>54</v>
      </c>
      <c r="I31" s="15" t="s">
        <v>56</v>
      </c>
      <c r="J31" s="15" t="s">
        <v>57</v>
      </c>
      <c r="K31" s="15" t="s">
        <v>26</v>
      </c>
      <c r="L31" s="15" t="s">
        <v>60</v>
      </c>
      <c r="M31" s="15" t="s">
        <v>62</v>
      </c>
      <c r="N31" s="15" t="s">
        <v>36</v>
      </c>
      <c r="O31" s="16" t="s">
        <v>75</v>
      </c>
    </row>
    <row r="32" spans="1:15" ht="16" thickTop="1" x14ac:dyDescent="0.2">
      <c r="A32" s="7" t="s">
        <v>63</v>
      </c>
      <c r="B32" s="8" t="s">
        <v>0</v>
      </c>
      <c r="C32" s="22">
        <f t="shared" ref="C32:N32" si="0">C17/100*C3*1000</f>
        <v>30.823440106567936</v>
      </c>
      <c r="D32" s="22">
        <f t="shared" si="0"/>
        <v>1.4657307979059004</v>
      </c>
      <c r="E32" s="22">
        <f t="shared" si="0"/>
        <v>4.2846983692612861</v>
      </c>
      <c r="F32" s="22">
        <f t="shared" si="0"/>
        <v>2.3822036254356704E-2</v>
      </c>
      <c r="G32" s="22">
        <f t="shared" si="0"/>
        <v>0.19066918058863977</v>
      </c>
      <c r="H32" s="22">
        <f t="shared" si="0"/>
        <v>1.1752989579336084</v>
      </c>
      <c r="I32" s="22">
        <f t="shared" si="0"/>
        <v>0.43502895686941223</v>
      </c>
      <c r="J32" s="22">
        <f t="shared" si="0"/>
        <v>2.9003823030692637E-3</v>
      </c>
      <c r="K32" s="22">
        <f t="shared" si="0"/>
        <v>6.7360490647912954E-2</v>
      </c>
      <c r="L32" s="22">
        <f t="shared" si="0"/>
        <v>0.17440868866813808</v>
      </c>
      <c r="M32" s="22">
        <f t="shared" si="0"/>
        <v>1.4376646633166232</v>
      </c>
      <c r="N32" s="22">
        <f t="shared" si="0"/>
        <v>0.14491362713780986</v>
      </c>
      <c r="O32" s="23">
        <f t="shared" ref="O32:O38" si="1">O17/100*N3*1000</f>
        <v>9.0181615274008461E-2</v>
      </c>
    </row>
    <row r="33" spans="1:24" x14ac:dyDescent="0.2">
      <c r="A33" s="7" t="s">
        <v>64</v>
      </c>
      <c r="B33" s="8" t="s">
        <v>1</v>
      </c>
      <c r="C33" s="22">
        <f t="shared" ref="C33:N33" si="2">C18/100*C4*1000</f>
        <v>44.54826764159931</v>
      </c>
      <c r="D33" s="22">
        <f t="shared" si="2"/>
        <v>2.1865503702604308</v>
      </c>
      <c r="E33" s="22">
        <f t="shared" si="2"/>
        <v>4.2972793165137659</v>
      </c>
      <c r="F33" s="22">
        <f t="shared" si="2"/>
        <v>1.078050438618168E-2</v>
      </c>
      <c r="G33" s="22">
        <f t="shared" si="2"/>
        <v>0.17089278503717947</v>
      </c>
      <c r="H33" s="22">
        <f t="shared" si="2"/>
        <v>1.094657643695254</v>
      </c>
      <c r="I33" s="22">
        <f t="shared" si="2"/>
        <v>0.37615662944235367</v>
      </c>
      <c r="J33" s="22">
        <f t="shared" si="2"/>
        <v>2.6590341425636794E-3</v>
      </c>
      <c r="K33" s="22">
        <f t="shared" si="2"/>
        <v>5.4823496543773761E-2</v>
      </c>
      <c r="L33" s="22">
        <f t="shared" si="2"/>
        <v>0.10138250224938992</v>
      </c>
      <c r="M33" s="22">
        <f t="shared" si="2"/>
        <v>1.1498239803385895</v>
      </c>
      <c r="N33" s="22">
        <f t="shared" si="2"/>
        <v>6.7118183768570622E-2</v>
      </c>
      <c r="O33" s="23">
        <f t="shared" si="1"/>
        <v>6.4010666065606917E-2</v>
      </c>
    </row>
    <row r="34" spans="1:24" x14ac:dyDescent="0.2">
      <c r="A34" s="7" t="s">
        <v>65</v>
      </c>
      <c r="B34" s="8" t="s">
        <v>2</v>
      </c>
      <c r="C34" s="22">
        <f t="shared" ref="C34:N34" si="3">C19/100*C5*1000</f>
        <v>41.291885849213934</v>
      </c>
      <c r="D34" s="22">
        <f t="shared" si="3"/>
        <v>1.8378751890557559</v>
      </c>
      <c r="E34" s="22">
        <f t="shared" si="3"/>
        <v>4.59329828842721</v>
      </c>
      <c r="F34" s="22">
        <f t="shared" si="3"/>
        <v>1.8622996034016678E-2</v>
      </c>
      <c r="G34" s="22">
        <f t="shared" si="3"/>
        <v>0.17751415877528293</v>
      </c>
      <c r="H34" s="22">
        <f t="shared" si="3"/>
        <v>0.98437659915085907</v>
      </c>
      <c r="I34" s="22">
        <f t="shared" si="3"/>
        <v>0.37379731714095726</v>
      </c>
      <c r="J34" s="22">
        <f t="shared" si="3"/>
        <v>2.2363113753854163E-3</v>
      </c>
      <c r="K34" s="22">
        <f t="shared" si="3"/>
        <v>8.3702966840586285E-2</v>
      </c>
      <c r="L34" s="22">
        <f t="shared" si="3"/>
        <v>0.14104038101937366</v>
      </c>
      <c r="M34" s="22">
        <f t="shared" si="3"/>
        <v>1.8596038475302625</v>
      </c>
      <c r="N34" s="22">
        <f t="shared" si="3"/>
        <v>0.13554120492007721</v>
      </c>
      <c r="O34" s="23">
        <f t="shared" si="1"/>
        <v>0.11070448425455356</v>
      </c>
    </row>
    <row r="35" spans="1:24" x14ac:dyDescent="0.2">
      <c r="A35" s="7" t="s">
        <v>66</v>
      </c>
      <c r="B35" s="8" t="s">
        <v>3</v>
      </c>
      <c r="C35" s="22">
        <f t="shared" ref="C35:N35" si="4">C20/100*C6*1000</f>
        <v>46.141095927768788</v>
      </c>
      <c r="D35" s="22">
        <f t="shared" si="4"/>
        <v>2.1346075117267524</v>
      </c>
      <c r="E35" s="22">
        <f t="shared" si="4"/>
        <v>5.3833371107423185</v>
      </c>
      <c r="F35" s="22">
        <f t="shared" si="4"/>
        <v>4.8708042330345064E-2</v>
      </c>
      <c r="G35" s="22">
        <f t="shared" si="4"/>
        <v>0.21920550912357342</v>
      </c>
      <c r="H35" s="22">
        <f t="shared" si="4"/>
        <v>1.3321601599821939</v>
      </c>
      <c r="I35" s="22">
        <f t="shared" si="4"/>
        <v>0.48783610798005317</v>
      </c>
      <c r="J35" s="22">
        <f t="shared" si="4"/>
        <v>2.5198091634876037E-3</v>
      </c>
      <c r="K35" s="22">
        <f t="shared" si="4"/>
        <v>8.5465894819268376E-2</v>
      </c>
      <c r="L35" s="22">
        <f t="shared" si="4"/>
        <v>0.32493995630260258</v>
      </c>
      <c r="M35" s="22">
        <f t="shared" si="4"/>
        <v>2.3349073290723128</v>
      </c>
      <c r="N35" s="22">
        <f t="shared" si="4"/>
        <v>2.7727520372803596E-2</v>
      </c>
      <c r="O35" s="23">
        <f t="shared" si="1"/>
        <v>0.10189358135302125</v>
      </c>
    </row>
    <row r="36" spans="1:24" x14ac:dyDescent="0.2">
      <c r="A36" s="61" t="s">
        <v>83</v>
      </c>
      <c r="B36" s="42" t="s">
        <v>4</v>
      </c>
      <c r="C36" s="47">
        <f t="shared" ref="C36:N36" si="5">C21/100*C7*1000</f>
        <v>56.846920493317427</v>
      </c>
      <c r="D36" s="47">
        <f t="shared" si="5"/>
        <v>2.7308770577572488</v>
      </c>
      <c r="E36" s="47">
        <f t="shared" si="5"/>
        <v>5.4831806930623266</v>
      </c>
      <c r="F36" s="47">
        <f t="shared" si="5"/>
        <v>4.3549936654716286E-2</v>
      </c>
      <c r="G36" s="47">
        <f t="shared" si="5"/>
        <v>0.2487796846364522</v>
      </c>
      <c r="H36" s="47">
        <f t="shared" si="5"/>
        <v>1.4879026308280385</v>
      </c>
      <c r="I36" s="47">
        <f t="shared" si="5"/>
        <v>0.50577705772460702</v>
      </c>
      <c r="J36" s="47">
        <f t="shared" si="5"/>
        <v>4.0519467787678582E-3</v>
      </c>
      <c r="K36" s="47">
        <f t="shared" si="5"/>
        <v>9.3360228950911006E-2</v>
      </c>
      <c r="L36" s="47">
        <f t="shared" si="5"/>
        <v>0.27628844948475262</v>
      </c>
      <c r="M36" s="47">
        <f t="shared" si="5"/>
        <v>2.2932425806262597</v>
      </c>
      <c r="N36" s="47">
        <f t="shared" si="5"/>
        <v>6.6955613996185312E-2</v>
      </c>
      <c r="O36" s="48">
        <f t="shared" si="1"/>
        <v>0.17058133550151711</v>
      </c>
    </row>
    <row r="37" spans="1:24" x14ac:dyDescent="0.2">
      <c r="A37" s="62" t="s">
        <v>84</v>
      </c>
      <c r="B37" s="42" t="s">
        <v>5</v>
      </c>
      <c r="C37" s="47">
        <f t="shared" ref="C37:N37" si="6">C22/100*C8*1000</f>
        <v>26.040223977276106</v>
      </c>
      <c r="D37" s="47">
        <f t="shared" si="6"/>
        <v>1.2421721282424738</v>
      </c>
      <c r="E37" s="47">
        <f t="shared" si="6"/>
        <v>4.0687262411537528</v>
      </c>
      <c r="F37" s="47">
        <f t="shared" si="6"/>
        <v>4.1845239913115145E-2</v>
      </c>
      <c r="G37" s="47">
        <f t="shared" si="6"/>
        <v>0.18052584415349388</v>
      </c>
      <c r="H37" s="47">
        <f t="shared" si="6"/>
        <v>1.0739227147509816</v>
      </c>
      <c r="I37" s="47">
        <f t="shared" si="6"/>
        <v>0.46166860467090431</v>
      </c>
      <c r="J37" s="47">
        <f t="shared" si="6"/>
        <v>2.5552215734013692E-3</v>
      </c>
      <c r="K37" s="47">
        <f t="shared" si="6"/>
        <v>7.4700862818825875E-2</v>
      </c>
      <c r="L37" s="47">
        <f t="shared" si="6"/>
        <v>0.28122198792275394</v>
      </c>
      <c r="M37" s="47">
        <f t="shared" si="6"/>
        <v>1.8063407038448187</v>
      </c>
      <c r="N37" s="47">
        <f t="shared" si="6"/>
        <v>0.12260710816423492</v>
      </c>
      <c r="O37" s="48">
        <f t="shared" si="1"/>
        <v>0.14033063374194804</v>
      </c>
    </row>
    <row r="38" spans="1:24" ht="16" thickBot="1" x14ac:dyDescent="0.25">
      <c r="A38" s="86" t="s">
        <v>85</v>
      </c>
      <c r="B38" s="88" t="s">
        <v>6</v>
      </c>
      <c r="C38" s="105">
        <f t="shared" ref="C38:N38" si="7">C23/100*C9*1000</f>
        <v>40.638592617230849</v>
      </c>
      <c r="D38" s="105">
        <f t="shared" si="7"/>
        <v>2.027539745622795</v>
      </c>
      <c r="E38" s="105">
        <f t="shared" si="7"/>
        <v>5.7460770052627925</v>
      </c>
      <c r="F38" s="105">
        <f t="shared" si="7"/>
        <v>3.6094579091616834E-2</v>
      </c>
      <c r="G38" s="105">
        <f t="shared" si="7"/>
        <v>0.22334272479205441</v>
      </c>
      <c r="H38" s="105">
        <f t="shared" si="7"/>
        <v>1.4609280592457703</v>
      </c>
      <c r="I38" s="105">
        <f t="shared" si="7"/>
        <v>0.62647227634390523</v>
      </c>
      <c r="J38" s="105">
        <f t="shared" si="7"/>
        <v>3.7863554863629763E-3</v>
      </c>
      <c r="K38" s="105">
        <f t="shared" si="7"/>
        <v>0.11399294995971065</v>
      </c>
      <c r="L38" s="105">
        <f t="shared" si="7"/>
        <v>0.36191200414229913</v>
      </c>
      <c r="M38" s="105">
        <f t="shared" si="7"/>
        <v>2.3620411903602392</v>
      </c>
      <c r="N38" s="105">
        <f t="shared" si="7"/>
        <v>0.11643034273638875</v>
      </c>
      <c r="O38" s="106">
        <f t="shared" si="1"/>
        <v>0.16259879707990899</v>
      </c>
    </row>
    <row r="39" spans="1:24" x14ac:dyDescent="0.2">
      <c r="A39" s="85"/>
      <c r="B39" s="8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  <row r="40" spans="1:24" x14ac:dyDescent="0.2">
      <c r="A40" s="85"/>
      <c r="B40" s="8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</row>
    <row r="41" spans="1:24" x14ac:dyDescent="0.2">
      <c r="A41" s="85"/>
      <c r="B41" s="8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</row>
    <row r="42" spans="1:24" ht="19" x14ac:dyDescent="0.25">
      <c r="A42" s="85"/>
      <c r="B42" s="8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S42" s="124">
        <v>0.77</v>
      </c>
      <c r="T42" s="124">
        <v>1.77</v>
      </c>
      <c r="U42" s="1">
        <v>2.77</v>
      </c>
      <c r="V42" s="1">
        <v>3.77</v>
      </c>
      <c r="W42">
        <v>4.7699999999999996</v>
      </c>
      <c r="X42">
        <v>5.77</v>
      </c>
    </row>
    <row r="43" spans="1:24" ht="20" thickBo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S43" s="124">
        <v>0.77</v>
      </c>
      <c r="T43" s="124">
        <v>1.77</v>
      </c>
      <c r="U43" s="1">
        <v>2.77</v>
      </c>
      <c r="V43" s="1">
        <v>3.77</v>
      </c>
      <c r="W43">
        <v>4.7699999999999996</v>
      </c>
      <c r="X43">
        <v>5.77</v>
      </c>
    </row>
    <row r="44" spans="1:24" ht="20" thickBot="1" x14ac:dyDescent="0.3">
      <c r="B44" s="13"/>
      <c r="C44" s="49" t="str">
        <f>C16</f>
        <v>Lactate</v>
      </c>
      <c r="D44" s="49" t="str">
        <f>D16</f>
        <v>Pyruvate</v>
      </c>
      <c r="E44" s="50" t="s">
        <v>77</v>
      </c>
      <c r="F44" s="49" t="s">
        <v>76</v>
      </c>
      <c r="G44" s="49" t="s">
        <v>74</v>
      </c>
      <c r="H44" s="49" t="s">
        <v>53</v>
      </c>
      <c r="I44" s="49" t="s">
        <v>68</v>
      </c>
      <c r="J44" s="49" t="s">
        <v>55</v>
      </c>
      <c r="K44" s="49" t="s">
        <v>78</v>
      </c>
      <c r="L44" s="49" t="str">
        <f>E16</f>
        <v>Alanine</v>
      </c>
      <c r="M44" s="49" t="s">
        <v>79</v>
      </c>
      <c r="N44" s="49" t="s">
        <v>71</v>
      </c>
      <c r="O44" s="51" t="str">
        <f>H16</f>
        <v>Serine</v>
      </c>
      <c r="S44" s="124">
        <v>0.77</v>
      </c>
      <c r="T44" s="124">
        <v>1.77</v>
      </c>
      <c r="U44" s="1">
        <v>2.77</v>
      </c>
      <c r="V44" s="1">
        <v>3.77</v>
      </c>
      <c r="W44">
        <v>4.7699999999999996</v>
      </c>
      <c r="X44">
        <v>5.77</v>
      </c>
    </row>
    <row r="45" spans="1:24" ht="20" thickTop="1" x14ac:dyDescent="0.25">
      <c r="B45" s="32" t="s">
        <v>67</v>
      </c>
      <c r="C45" s="9">
        <f>AVERAGE(C32:C35)</f>
        <v>40.701172381287492</v>
      </c>
      <c r="D45" s="9">
        <f>AVERAGE(D32:D35)</f>
        <v>1.9061909672372099</v>
      </c>
      <c r="E45" s="9">
        <f>AVERAGE(O32:O35)</f>
        <v>9.1697586736797551E-2</v>
      </c>
      <c r="F45" s="9">
        <f>AVERAGE(N32:N35)</f>
        <v>9.3825134049815323E-2</v>
      </c>
      <c r="G45" s="9">
        <f>AVERAGE(L32:L35)</f>
        <v>0.18544288205987608</v>
      </c>
      <c r="H45" s="9">
        <f>AVERAGE(F32:F35)</f>
        <v>2.5483394751225033E-2</v>
      </c>
      <c r="I45" s="9">
        <f>AVERAGE(G32:G35)</f>
        <v>0.1895704083811689</v>
      </c>
      <c r="J45" s="9">
        <f>AVERAGE(I32:I35)</f>
        <v>0.41820475285819403</v>
      </c>
      <c r="K45" s="33">
        <f>AVERAGE(J32:J35)*10</f>
        <v>2.5788842461264908E-2</v>
      </c>
      <c r="L45" s="9">
        <f>AVERAGE(E32:E35)</f>
        <v>4.6396532712361447</v>
      </c>
      <c r="M45" s="9">
        <f>AVERAGE(K32:K35)*10</f>
        <v>0.72838212212885345</v>
      </c>
      <c r="N45" s="9">
        <f>AVERAGE(M32:M35)</f>
        <v>1.695499955064447</v>
      </c>
      <c r="O45" s="10">
        <f>AVERAGE(H32:H35)</f>
        <v>1.1466233401904788</v>
      </c>
      <c r="S45" s="124">
        <v>0.77</v>
      </c>
      <c r="T45" s="124">
        <v>1.77</v>
      </c>
      <c r="U45" s="1">
        <v>2.77</v>
      </c>
      <c r="V45" s="1">
        <v>3.77</v>
      </c>
      <c r="W45">
        <v>4.7699999999999996</v>
      </c>
      <c r="X45">
        <v>5.77</v>
      </c>
    </row>
    <row r="46" spans="1:24" ht="19" x14ac:dyDescent="0.25">
      <c r="B46" s="34" t="s">
        <v>86</v>
      </c>
      <c r="C46" s="35">
        <f>AVERAGE(C36:C38)</f>
        <v>41.175245695941463</v>
      </c>
      <c r="D46" s="35">
        <f>AVERAGE(D36:D38)</f>
        <v>2.0001963105408396</v>
      </c>
      <c r="E46" s="35">
        <f>AVERAGE(O36:O38)</f>
        <v>0.15783692210779138</v>
      </c>
      <c r="F46" s="35">
        <f>AVERAGE(N36:N38)</f>
        <v>0.10199768829893634</v>
      </c>
      <c r="G46" s="35">
        <f>AVERAGE(L36:L38)</f>
        <v>0.3064741471832686</v>
      </c>
      <c r="H46" s="35">
        <f>AVERAGE(F36:F38)</f>
        <v>4.0496585219816091E-2</v>
      </c>
      <c r="I46" s="35">
        <f>AVERAGE(G36:G38)</f>
        <v>0.21754941786066684</v>
      </c>
      <c r="J46" s="35">
        <f>AVERAGE(I36:I38)</f>
        <v>0.53130597957980552</v>
      </c>
      <c r="K46" s="36">
        <f>AVERAGE(J36:J38)*10</f>
        <v>3.464507946177401E-2</v>
      </c>
      <c r="L46" s="35">
        <f>AVERAGE(E36:E38)</f>
        <v>5.0993279798262909</v>
      </c>
      <c r="M46" s="35">
        <f>AVERAGE(K36:K38)*10</f>
        <v>0.94018013909815845</v>
      </c>
      <c r="N46" s="35">
        <f>AVERAGE(M36:M38)</f>
        <v>2.1538748249437725</v>
      </c>
      <c r="O46" s="37">
        <f>AVERAGE(H36:H38)</f>
        <v>1.3409178016082635</v>
      </c>
      <c r="S46" s="124"/>
      <c r="T46" s="124"/>
      <c r="U46" s="1"/>
      <c r="V46" s="1"/>
    </row>
    <row r="47" spans="1:24" ht="19" x14ac:dyDescent="0.25">
      <c r="B47" s="93"/>
      <c r="C47" s="92"/>
      <c r="D47" s="92"/>
      <c r="E47" s="92"/>
      <c r="F47" s="92"/>
      <c r="G47" s="92"/>
      <c r="H47" s="92"/>
      <c r="I47" s="92"/>
      <c r="J47" s="92"/>
      <c r="K47" s="73"/>
      <c r="L47" s="92"/>
      <c r="M47" s="92"/>
      <c r="N47" s="92"/>
      <c r="O47" s="95"/>
      <c r="S47" s="124">
        <v>1</v>
      </c>
      <c r="T47" s="124">
        <v>2</v>
      </c>
      <c r="U47" s="1">
        <v>3</v>
      </c>
      <c r="V47" s="1">
        <v>4</v>
      </c>
      <c r="W47">
        <v>5</v>
      </c>
      <c r="X47">
        <v>6</v>
      </c>
    </row>
    <row r="48" spans="1:24" ht="19" x14ac:dyDescent="0.25">
      <c r="B48" s="20"/>
      <c r="C48" s="26"/>
      <c r="D48" s="26"/>
      <c r="E48" s="21"/>
      <c r="F48" s="26"/>
      <c r="G48" s="26"/>
      <c r="H48" s="26"/>
      <c r="I48" s="26"/>
      <c r="J48" s="26"/>
      <c r="K48" s="27"/>
      <c r="L48" s="26"/>
      <c r="M48" s="26"/>
      <c r="N48" s="26"/>
      <c r="O48" s="28"/>
      <c r="S48" s="124">
        <v>1</v>
      </c>
      <c r="T48" s="124">
        <v>2</v>
      </c>
      <c r="U48" s="1">
        <v>3</v>
      </c>
      <c r="V48" s="1">
        <v>4</v>
      </c>
      <c r="W48">
        <v>5</v>
      </c>
      <c r="X48">
        <v>6</v>
      </c>
    </row>
    <row r="49" spans="1:24" ht="19" x14ac:dyDescent="0.25">
      <c r="B49" s="32" t="s">
        <v>82</v>
      </c>
      <c r="C49" s="9">
        <f>STDEVP(C32:C35)/SQRT(3)</f>
        <v>3.4437315931232431</v>
      </c>
      <c r="D49" s="9">
        <f>STDEVP(D32:D35)/SQRT(3)</f>
        <v>0.1656924155818004</v>
      </c>
      <c r="E49" s="9">
        <f>STDEVP(O32:O35)/SQRT(3)</f>
        <v>1.0141023145263901E-2</v>
      </c>
      <c r="F49" s="9">
        <f>STDEVP(N32:N35)/SQRT(3)</f>
        <v>2.8036316362257632E-2</v>
      </c>
      <c r="G49" s="9">
        <f>STDEVP(L32:L35)/SQRT(3)</f>
        <v>4.8835537520182638E-2</v>
      </c>
      <c r="H49" s="9">
        <f>STDEVP(F32:F35)/SQRT(3)</f>
        <v>8.1923969980047199E-3</v>
      </c>
      <c r="I49" s="9">
        <f>STDEVP(G32:G35)/SQRT(3)</f>
        <v>1.0699117038007312E-2</v>
      </c>
      <c r="J49" s="9">
        <f>STDEVP(I32:I35)/SQRT(3)</f>
        <v>2.7190139889446484E-2</v>
      </c>
      <c r="K49" s="9">
        <f>STDEVP(J32:J35)/SQRT(3)*10</f>
        <v>1.3863352278382587E-3</v>
      </c>
      <c r="L49" s="9">
        <f>STDEVP(E32:E35)/SQRT(3)</f>
        <v>0.25794497877165007</v>
      </c>
      <c r="M49" s="9">
        <f>STDEVP(K32:K35)/SQRT(3)*10</f>
        <v>7.2573909184017057E-2</v>
      </c>
      <c r="N49" s="9">
        <f>STDEVP(M32:M35)/SQRT(3)</f>
        <v>0.25820101738144652</v>
      </c>
      <c r="O49" s="10">
        <f>STDEVP(H32:H35)/SQRT(3)</f>
        <v>7.3183924203329864E-2</v>
      </c>
      <c r="S49" s="124">
        <v>1</v>
      </c>
      <c r="T49" s="124">
        <v>2</v>
      </c>
      <c r="U49" s="1">
        <v>3</v>
      </c>
      <c r="V49" s="1">
        <v>4</v>
      </c>
      <c r="W49">
        <v>5</v>
      </c>
      <c r="X49">
        <v>6</v>
      </c>
    </row>
    <row r="50" spans="1:24" ht="19" x14ac:dyDescent="0.25">
      <c r="B50" s="34" t="s">
        <v>87</v>
      </c>
      <c r="C50" s="35">
        <f>STDEVP(C36:C38)/SQRT(3)</f>
        <v>7.2645124475545186</v>
      </c>
      <c r="D50" s="35">
        <f>STDEVP(D36:D38)/SQRT(3)</f>
        <v>0.35106863506599606</v>
      </c>
      <c r="E50" s="35">
        <f>STDEVP(O36:O38)/SQRT(3)</f>
        <v>7.3904266780170681E-3</v>
      </c>
      <c r="F50" s="35">
        <f>STDEVP(N36:N38)/SQRT(3)</f>
        <v>1.4379756885344833E-2</v>
      </c>
      <c r="G50" s="35">
        <f>STDEVP(L36:L38)/SQRT(3)</f>
        <v>2.2662263977013083E-2</v>
      </c>
      <c r="H50" s="35">
        <f>STDEVP(F36:F38)/SQRT(3)</f>
        <v>1.8414813607971062E-3</v>
      </c>
      <c r="I50" s="35">
        <f>STDEVP(G36:G38)/SQRT(3)</f>
        <v>1.6260507639125264E-2</v>
      </c>
      <c r="J50" s="35">
        <f>STDEVP(I36:I38)/SQRT(3)</f>
        <v>4.0218450540743612E-2</v>
      </c>
      <c r="K50" s="35">
        <f>STDEVP(J36:J38)/SQRT(3)*10</f>
        <v>3.7645597778269684E-3</v>
      </c>
      <c r="L50" s="35">
        <f>STDEVP(E36:E38)/SQRT(3)</f>
        <v>0.42527992756622418</v>
      </c>
      <c r="M50" s="35">
        <f>STDEVP(K36:K38)/SQRT(3)*10</f>
        <v>9.2651262360032766E-2</v>
      </c>
      <c r="N50" s="35">
        <f>STDEVP(M36:M38)/SQRT(3)</f>
        <v>0.14280389519379991</v>
      </c>
      <c r="O50" s="37">
        <f>STDEVP(H36:H38)/SQRT(3)</f>
        <v>0.1091855598739626</v>
      </c>
      <c r="S50" s="124"/>
      <c r="T50" s="124"/>
      <c r="U50" s="1"/>
      <c r="V50" s="1"/>
    </row>
    <row r="51" spans="1:24" ht="19" x14ac:dyDescent="0.25">
      <c r="B51" s="93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5"/>
      <c r="S51" s="124"/>
      <c r="T51" s="124"/>
      <c r="U51" s="1"/>
      <c r="V51" s="1"/>
    </row>
    <row r="52" spans="1:24" x14ac:dyDescent="0.2">
      <c r="B52" s="20"/>
      <c r="C52" s="26"/>
      <c r="D52" s="29"/>
      <c r="E52" s="21"/>
      <c r="F52" s="29"/>
      <c r="G52" s="29"/>
      <c r="H52" s="29"/>
      <c r="I52" s="29"/>
      <c r="J52" s="30"/>
      <c r="K52" s="29"/>
      <c r="L52" s="29"/>
      <c r="M52" s="29"/>
      <c r="N52" s="29"/>
      <c r="O52" s="31"/>
    </row>
    <row r="53" spans="1:24" ht="16" thickBot="1" x14ac:dyDescent="0.25">
      <c r="B53" s="94" t="s">
        <v>88</v>
      </c>
      <c r="C53" s="52">
        <f>TTEST(C32:C35,C36:C38,2,2)</f>
        <v>0.95761350267887246</v>
      </c>
      <c r="D53" s="52">
        <f>TTEST(D32:D35,D36:D38,2,2)</f>
        <v>0.82760696807848544</v>
      </c>
      <c r="E53" s="53">
        <f>TTEST(O32:O35,O36:O38,2,2)</f>
        <v>5.5254651131309189E-3</v>
      </c>
      <c r="F53" s="52">
        <f>TTEST(N32:N35,N36:N38,2,2)</f>
        <v>0.83077540222116841</v>
      </c>
      <c r="G53" s="53">
        <f>TTEST(L32:L35,L36:L38,1,2)</f>
        <v>5.4788678876288952E-2</v>
      </c>
      <c r="H53" s="52">
        <f>TTEST(F32:F35,F36:F38,2,2)</f>
        <v>0.18891824068240556</v>
      </c>
      <c r="I53" s="52">
        <f>TTEST(G32:G35,G36:G38,2,2)</f>
        <v>0.23880379389119108</v>
      </c>
      <c r="J53" s="53">
        <f>TTEST(I32:I35,I36:I38,1,2)</f>
        <v>4.1421255506441094E-2</v>
      </c>
      <c r="K53" s="52">
        <f>TTEST(J32:J35,J36:J38,2,2)</f>
        <v>8.831320106107296E-2</v>
      </c>
      <c r="L53" s="52">
        <f>TTEST(E32:E35,E36:E38,2,2)</f>
        <v>0.42708234094906455</v>
      </c>
      <c r="M53" s="52">
        <f>TTEST(K32:K35,K36:K38,2,2)</f>
        <v>0.15892932621012024</v>
      </c>
      <c r="N53" s="52">
        <f>TTEST(M32:M35,M36:M38,2,2)</f>
        <v>0.23396613768462252</v>
      </c>
      <c r="O53" s="54">
        <f>TTEST(H32:H35,H36:H38,2,2)</f>
        <v>0.22803361280764589</v>
      </c>
    </row>
    <row r="54" spans="1:24" x14ac:dyDescent="0.2">
      <c r="B54" s="72"/>
      <c r="C54" s="92"/>
      <c r="D54" s="92"/>
      <c r="E54" s="103"/>
      <c r="F54" s="92"/>
      <c r="G54" s="92"/>
      <c r="H54" s="92"/>
      <c r="I54" s="73"/>
      <c r="J54" s="92"/>
      <c r="K54" s="92"/>
      <c r="L54" s="92"/>
      <c r="M54" s="92"/>
      <c r="N54" s="92"/>
      <c r="O54" s="92"/>
    </row>
    <row r="55" spans="1:24" x14ac:dyDescent="0.2">
      <c r="B55" s="72"/>
      <c r="C55" s="92"/>
      <c r="D55" s="92"/>
      <c r="E55" s="107"/>
      <c r="F55" s="73"/>
      <c r="G55" s="73"/>
      <c r="H55" s="103"/>
      <c r="I55" s="73"/>
      <c r="J55" s="92"/>
      <c r="K55" s="92"/>
      <c r="L55" s="92"/>
      <c r="M55" s="73"/>
      <c r="N55" s="73"/>
      <c r="O55" s="92"/>
    </row>
    <row r="57" spans="1:24" x14ac:dyDescent="0.2">
      <c r="A57" s="123">
        <v>44562</v>
      </c>
    </row>
    <row r="60" spans="1:24" x14ac:dyDescent="0.2">
      <c r="C60" t="s">
        <v>89</v>
      </c>
      <c r="F60" t="s">
        <v>68</v>
      </c>
      <c r="J60" t="s">
        <v>55</v>
      </c>
      <c r="L60" t="s">
        <v>69</v>
      </c>
      <c r="N60" t="s">
        <v>90</v>
      </c>
    </row>
    <row r="61" spans="1:24" x14ac:dyDescent="0.2">
      <c r="A61" t="s">
        <v>106</v>
      </c>
      <c r="C61" t="s">
        <v>51</v>
      </c>
      <c r="D61" t="s">
        <v>52</v>
      </c>
      <c r="E61" t="s">
        <v>91</v>
      </c>
      <c r="F61" t="s">
        <v>92</v>
      </c>
      <c r="G61" t="s">
        <v>93</v>
      </c>
      <c r="H61" t="s">
        <v>94</v>
      </c>
      <c r="I61" t="s">
        <v>54</v>
      </c>
      <c r="J61" t="s">
        <v>92</v>
      </c>
      <c r="K61" t="s">
        <v>94</v>
      </c>
      <c r="L61" t="s">
        <v>92</v>
      </c>
      <c r="M61" t="s">
        <v>94</v>
      </c>
      <c r="N61" t="s">
        <v>92</v>
      </c>
      <c r="O61" t="s">
        <v>94</v>
      </c>
    </row>
    <row r="62" spans="1:24" x14ac:dyDescent="0.2">
      <c r="A62" t="s">
        <v>67</v>
      </c>
      <c r="B62" t="s">
        <v>95</v>
      </c>
      <c r="C62" s="4">
        <v>38.011666034786955</v>
      </c>
      <c r="D62" s="4">
        <v>39.02308745908276</v>
      </c>
      <c r="E62" s="4">
        <v>7.0229719053229349</v>
      </c>
      <c r="F62" s="4">
        <v>7.6220929827953938</v>
      </c>
      <c r="G62" s="4">
        <v>3.9758008710024044</v>
      </c>
      <c r="H62" s="4">
        <v>1.5314453724172434</v>
      </c>
      <c r="I62" s="4">
        <v>2.2476924721418072</v>
      </c>
      <c r="J62" s="4">
        <v>10.672113263770486</v>
      </c>
      <c r="K62" s="4">
        <v>1.2270528136404795</v>
      </c>
      <c r="L62" s="4">
        <v>6.7501186477887885</v>
      </c>
      <c r="M62" s="4">
        <v>1.1027130517740811</v>
      </c>
      <c r="N62" s="4">
        <v>10.130927016057715</v>
      </c>
      <c r="O62" s="4">
        <v>5.9568328222434648</v>
      </c>
    </row>
    <row r="63" spans="1:24" x14ac:dyDescent="0.2">
      <c r="A63" t="s">
        <v>104</v>
      </c>
      <c r="B63" t="s">
        <v>96</v>
      </c>
      <c r="C63" s="4">
        <v>40.419215218071415</v>
      </c>
      <c r="D63" s="4">
        <v>39.511549936370209</v>
      </c>
      <c r="E63" s="4">
        <v>7.5878741064896555</v>
      </c>
      <c r="F63" s="4">
        <v>7.5837925184077069</v>
      </c>
      <c r="G63" s="117">
        <v>4.2587378743126338</v>
      </c>
      <c r="H63" s="117">
        <v>1.6488312253135298</v>
      </c>
      <c r="I63" s="4">
        <v>2.7408275843219618</v>
      </c>
      <c r="J63" s="4">
        <v>10.33809035651902</v>
      </c>
      <c r="K63" s="117">
        <v>1.3163865861753441</v>
      </c>
      <c r="L63" s="117">
        <v>7.7542849277855996</v>
      </c>
      <c r="M63" s="117">
        <v>1.2222575227975976</v>
      </c>
      <c r="N63" s="117">
        <v>11.335131609112569</v>
      </c>
      <c r="O63" s="120">
        <v>2.1777539922539462</v>
      </c>
    </row>
    <row r="64" spans="1:24" x14ac:dyDescent="0.2">
      <c r="A64" t="s">
        <v>105</v>
      </c>
      <c r="B64" t="s">
        <v>97</v>
      </c>
      <c r="C64" s="4">
        <v>33.721223004903173</v>
      </c>
      <c r="D64" s="4">
        <v>40.340361105155509</v>
      </c>
      <c r="E64" s="4">
        <v>7.8831990999238641</v>
      </c>
      <c r="F64" s="4">
        <v>7.6304832250283665</v>
      </c>
      <c r="G64" s="117">
        <v>4.1760184635957627</v>
      </c>
      <c r="H64" s="117">
        <v>1.5700600866072438</v>
      </c>
      <c r="I64" s="4">
        <v>2.6952770911170743</v>
      </c>
      <c r="J64" s="4">
        <v>10.510411791557862</v>
      </c>
      <c r="K64" s="4">
        <v>1.234142120280191</v>
      </c>
      <c r="L64" s="117">
        <v>8.2769424211089397</v>
      </c>
      <c r="M64" s="117">
        <v>1.2064795121735608</v>
      </c>
      <c r="N64" s="117">
        <v>11.888845919932422</v>
      </c>
      <c r="O64" s="120">
        <v>2.3121129198106329</v>
      </c>
    </row>
    <row r="67" spans="1:15" x14ac:dyDescent="0.2">
      <c r="A67" t="s">
        <v>107</v>
      </c>
    </row>
    <row r="68" spans="1:15" x14ac:dyDescent="0.2">
      <c r="A68" t="s">
        <v>67</v>
      </c>
      <c r="B68" s="115" t="s">
        <v>98</v>
      </c>
      <c r="C68" s="116">
        <v>19.083258793396482</v>
      </c>
      <c r="D68" s="116">
        <v>31.20421997683826</v>
      </c>
      <c r="E68" s="116">
        <v>3.0476621176541858</v>
      </c>
      <c r="F68" s="116">
        <v>8.7274581167542244</v>
      </c>
      <c r="G68" s="116">
        <v>3.7179662822483408</v>
      </c>
      <c r="H68" s="116">
        <v>1.9199929401743812</v>
      </c>
      <c r="I68" s="116">
        <v>6.1123893385469596</v>
      </c>
      <c r="J68" s="116">
        <v>14.889591868190866</v>
      </c>
      <c r="K68" s="116">
        <v>0.82359385074296043</v>
      </c>
      <c r="L68" s="116">
        <v>6.4540302315077653</v>
      </c>
      <c r="M68" s="116">
        <v>3.3783325568097431</v>
      </c>
      <c r="N68" s="116">
        <v>10.361908801369003</v>
      </c>
      <c r="O68" s="116">
        <v>1.1055180882106996</v>
      </c>
    </row>
    <row r="69" spans="1:15" x14ac:dyDescent="0.2">
      <c r="A69" t="s">
        <v>104</v>
      </c>
      <c r="B69" s="21" t="s">
        <v>99</v>
      </c>
      <c r="C69" s="26">
        <v>13.869529269883898</v>
      </c>
      <c r="D69" s="26">
        <v>32.412003084734174</v>
      </c>
      <c r="E69" s="122">
        <v>2.4319874196921871</v>
      </c>
      <c r="F69" s="118">
        <v>9.9365502682927165</v>
      </c>
      <c r="G69" s="118">
        <v>4.6624429868861892</v>
      </c>
      <c r="H69" s="118">
        <v>2.7939107112207386</v>
      </c>
      <c r="I69" s="26">
        <v>7.7407508034115242</v>
      </c>
      <c r="J69" s="122">
        <v>13.99086175065236</v>
      </c>
      <c r="K69" s="26">
        <v>1.033008147267509</v>
      </c>
      <c r="L69" s="118">
        <v>8.5622719203878113</v>
      </c>
      <c r="M69" s="26">
        <v>3.3667294300733688</v>
      </c>
      <c r="N69" s="122">
        <v>7.3342058088772459</v>
      </c>
      <c r="O69" s="26">
        <v>1.4981283868284918</v>
      </c>
    </row>
    <row r="70" spans="1:15" x14ac:dyDescent="0.2">
      <c r="A70" t="s">
        <v>105</v>
      </c>
      <c r="B70" s="113" t="s">
        <v>100</v>
      </c>
      <c r="C70" s="114">
        <v>14.416195555835696</v>
      </c>
      <c r="D70" s="114">
        <v>28.601686197889045</v>
      </c>
      <c r="E70" s="121">
        <v>2.4728744644921754</v>
      </c>
      <c r="F70" s="119">
        <v>9.7804224554359145</v>
      </c>
      <c r="G70" s="119">
        <v>4.9875933438927689</v>
      </c>
      <c r="H70" s="119">
        <v>3.8826818732621975</v>
      </c>
      <c r="I70" s="121">
        <v>3.9723624955692634</v>
      </c>
      <c r="J70" s="121">
        <v>13.955606985588924</v>
      </c>
      <c r="K70" s="114"/>
      <c r="L70" s="114">
        <v>6.256344959709681</v>
      </c>
      <c r="M70" s="114">
        <v>3.3239335919484518</v>
      </c>
      <c r="N70" s="119">
        <v>11.057822637250315</v>
      </c>
      <c r="O70" s="119">
        <v>2.8209991738710438</v>
      </c>
    </row>
    <row r="76" spans="1:15" x14ac:dyDescent="0.2">
      <c r="A76" t="s">
        <v>108</v>
      </c>
      <c r="B76" t="s">
        <v>101</v>
      </c>
      <c r="C76" s="4">
        <v>44.627307126784174</v>
      </c>
      <c r="D76" s="4">
        <v>46.256156588307491</v>
      </c>
      <c r="E76" s="4">
        <v>11.65834251784567</v>
      </c>
      <c r="F76" s="4">
        <v>9.2996496130694553</v>
      </c>
      <c r="G76" s="4">
        <v>9.3865000308186683</v>
      </c>
      <c r="H76" s="4">
        <v>3.3080370504636347</v>
      </c>
      <c r="I76" s="4">
        <v>8.6693550790266549</v>
      </c>
      <c r="J76" s="4">
        <v>13.358023084926746</v>
      </c>
      <c r="K76" s="4">
        <v>2.1160686620812954</v>
      </c>
      <c r="L76" s="4">
        <v>10.900383571083855</v>
      </c>
      <c r="M76" s="4">
        <v>2.2056990884240202</v>
      </c>
      <c r="N76" s="4">
        <v>12.1455845391955</v>
      </c>
      <c r="O76" s="4">
        <v>3.3133074200649673</v>
      </c>
    </row>
    <row r="77" spans="1:15" x14ac:dyDescent="0.2">
      <c r="A77" t="s">
        <v>109</v>
      </c>
      <c r="B77" t="s">
        <v>102</v>
      </c>
      <c r="C77" s="4">
        <v>44.786466859043607</v>
      </c>
      <c r="D77" s="4">
        <v>47.207006061299225</v>
      </c>
      <c r="E77" s="117">
        <v>11.847683545142525</v>
      </c>
      <c r="F77" s="4">
        <v>8.6615355686732833</v>
      </c>
      <c r="G77" s="4">
        <v>9.2895180961363106</v>
      </c>
      <c r="H77" s="4">
        <v>3.3274028470858283</v>
      </c>
      <c r="I77" s="4">
        <v>8.6618452172911429</v>
      </c>
      <c r="J77" s="4">
        <v>13.179219885443706</v>
      </c>
      <c r="K77" s="4">
        <v>2.078900866857444</v>
      </c>
      <c r="L77" s="4">
        <v>10.383268392876097</v>
      </c>
      <c r="M77" s="4">
        <v>2.1269836763698611</v>
      </c>
      <c r="N77" s="4">
        <v>12.5532910683122</v>
      </c>
      <c r="O77" s="4">
        <v>3.2289571738201239</v>
      </c>
    </row>
    <row r="78" spans="1:15" x14ac:dyDescent="0.2">
      <c r="A78" t="s">
        <v>105</v>
      </c>
      <c r="B78" t="s">
        <v>103</v>
      </c>
      <c r="C78" s="4">
        <v>44.463869839886939</v>
      </c>
      <c r="D78" s="4">
        <v>45.641017105223469</v>
      </c>
      <c r="E78" s="117">
        <v>12.180998978496293</v>
      </c>
      <c r="F78" s="4">
        <v>9.9029721721221264</v>
      </c>
      <c r="G78" s="117">
        <v>10.246850292284112</v>
      </c>
      <c r="H78" s="4">
        <v>3.6940787581996326</v>
      </c>
      <c r="I78" s="117">
        <v>9.2547017013923245</v>
      </c>
      <c r="J78" s="4">
        <v>13.964495861429722</v>
      </c>
      <c r="K78" s="4">
        <v>2.2539536763089205</v>
      </c>
      <c r="L78" s="4">
        <v>12.022359502666504</v>
      </c>
      <c r="M78" s="4">
        <v>2.5605057333067709</v>
      </c>
      <c r="N78" s="117">
        <v>14.427842479626012</v>
      </c>
      <c r="O78" s="117">
        <v>4.1113852840744629</v>
      </c>
    </row>
    <row r="79" spans="1:15" x14ac:dyDescent="0.2">
      <c r="A79" t="s">
        <v>104</v>
      </c>
    </row>
  </sheetData>
  <mergeCells count="3">
    <mergeCell ref="A1:N1"/>
    <mergeCell ref="A30:O30"/>
    <mergeCell ref="A15:O15"/>
  </mergeCells>
  <phoneticPr fontId="9" type="noConversion"/>
  <pageMargins left="0.7" right="0.7" top="0.75" bottom="0.75" header="0.3" footer="0.3"/>
  <pageSetup scale="63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5:P29"/>
  <sheetViews>
    <sheetView workbookViewId="0">
      <selection activeCell="D23" sqref="D23"/>
    </sheetView>
  </sheetViews>
  <sheetFormatPr baseColWidth="10" defaultColWidth="8.83203125" defaultRowHeight="15" x14ac:dyDescent="0.2"/>
  <sheetData>
    <row r="5" spans="4:16" x14ac:dyDescent="0.2">
      <c r="E5" s="2">
        <v>200</v>
      </c>
      <c r="F5" s="2">
        <v>201</v>
      </c>
      <c r="G5" s="2">
        <v>205</v>
      </c>
      <c r="H5" s="2">
        <v>242</v>
      </c>
      <c r="I5" s="2">
        <v>243</v>
      </c>
      <c r="J5" s="2">
        <v>247</v>
      </c>
      <c r="K5" s="2">
        <v>331</v>
      </c>
      <c r="L5" s="2">
        <v>332</v>
      </c>
      <c r="M5" s="2">
        <v>337</v>
      </c>
    </row>
    <row r="6" spans="4:16" x14ac:dyDescent="0.2">
      <c r="D6" t="s">
        <v>39</v>
      </c>
      <c r="E6">
        <v>86435</v>
      </c>
      <c r="F6">
        <v>9221</v>
      </c>
      <c r="G6">
        <v>147</v>
      </c>
      <c r="H6">
        <v>58037</v>
      </c>
      <c r="I6">
        <v>8608</v>
      </c>
      <c r="J6">
        <v>326</v>
      </c>
      <c r="K6">
        <v>10404</v>
      </c>
      <c r="L6">
        <v>1564</v>
      </c>
      <c r="M6">
        <v>1</v>
      </c>
      <c r="O6">
        <f>K6/L6</f>
        <v>6.6521739130434785</v>
      </c>
      <c r="P6">
        <v>10</v>
      </c>
    </row>
    <row r="7" spans="4:16" x14ac:dyDescent="0.2">
      <c r="D7" t="s">
        <v>40</v>
      </c>
      <c r="E7">
        <v>91466</v>
      </c>
      <c r="F7">
        <v>73374</v>
      </c>
      <c r="G7">
        <v>436</v>
      </c>
      <c r="H7">
        <v>41839</v>
      </c>
      <c r="I7">
        <v>50456</v>
      </c>
      <c r="J7">
        <v>974</v>
      </c>
      <c r="K7">
        <v>6988</v>
      </c>
      <c r="L7">
        <v>8483</v>
      </c>
      <c r="M7">
        <v>1</v>
      </c>
      <c r="O7">
        <f t="shared" ref="O7:O16" si="0">K7/L7</f>
        <v>0.82376517741365085</v>
      </c>
      <c r="P7">
        <f>P6/2</f>
        <v>5</v>
      </c>
    </row>
    <row r="8" spans="4:16" x14ac:dyDescent="0.2">
      <c r="D8" t="s">
        <v>41</v>
      </c>
      <c r="E8">
        <v>49485</v>
      </c>
      <c r="F8">
        <v>60246</v>
      </c>
      <c r="G8">
        <v>370</v>
      </c>
      <c r="H8">
        <v>17367</v>
      </c>
      <c r="I8">
        <v>41829</v>
      </c>
      <c r="J8">
        <v>805</v>
      </c>
      <c r="K8">
        <v>3065</v>
      </c>
      <c r="L8">
        <v>7411</v>
      </c>
      <c r="O8">
        <f t="shared" si="0"/>
        <v>0.4135744164080421</v>
      </c>
      <c r="P8">
        <f t="shared" ref="P8:P16" si="1">P7/2</f>
        <v>2.5</v>
      </c>
    </row>
    <row r="9" spans="4:16" x14ac:dyDescent="0.2">
      <c r="D9" t="s">
        <v>42</v>
      </c>
      <c r="E9">
        <v>45445</v>
      </c>
      <c r="F9">
        <v>71528</v>
      </c>
      <c r="G9">
        <v>416</v>
      </c>
      <c r="H9">
        <v>9922</v>
      </c>
      <c r="I9">
        <v>44663</v>
      </c>
      <c r="J9">
        <v>842</v>
      </c>
      <c r="K9">
        <v>1589</v>
      </c>
      <c r="L9">
        <v>7372</v>
      </c>
      <c r="M9">
        <v>4</v>
      </c>
      <c r="O9">
        <f t="shared" si="0"/>
        <v>0.21554530656538254</v>
      </c>
      <c r="P9">
        <f t="shared" si="1"/>
        <v>1.25</v>
      </c>
    </row>
    <row r="10" spans="4:16" x14ac:dyDescent="0.2">
      <c r="D10" t="s">
        <v>43</v>
      </c>
      <c r="E10">
        <v>34142</v>
      </c>
      <c r="F10">
        <v>63226</v>
      </c>
      <c r="G10">
        <v>345</v>
      </c>
      <c r="H10">
        <v>5030</v>
      </c>
      <c r="I10">
        <v>40945</v>
      </c>
      <c r="J10">
        <v>712</v>
      </c>
      <c r="K10">
        <v>841</v>
      </c>
      <c r="L10">
        <v>6989</v>
      </c>
      <c r="O10">
        <f t="shared" si="0"/>
        <v>0.12033195020746888</v>
      </c>
      <c r="P10">
        <f t="shared" si="1"/>
        <v>0.625</v>
      </c>
    </row>
    <row r="11" spans="4:16" x14ac:dyDescent="0.2">
      <c r="D11" t="s">
        <v>44</v>
      </c>
      <c r="E11">
        <v>28190</v>
      </c>
      <c r="F11">
        <v>57385</v>
      </c>
      <c r="G11">
        <v>281</v>
      </c>
      <c r="H11">
        <v>2619</v>
      </c>
      <c r="I11">
        <v>37608</v>
      </c>
      <c r="J11">
        <v>664</v>
      </c>
      <c r="K11">
        <v>465</v>
      </c>
      <c r="L11">
        <v>6397</v>
      </c>
      <c r="M11">
        <v>5</v>
      </c>
      <c r="O11">
        <f t="shared" si="0"/>
        <v>7.2690323589182426E-2</v>
      </c>
      <c r="P11">
        <f t="shared" si="1"/>
        <v>0.3125</v>
      </c>
    </row>
    <row r="12" spans="4:16" x14ac:dyDescent="0.2">
      <c r="D12" t="s">
        <v>45</v>
      </c>
      <c r="E12">
        <v>25578</v>
      </c>
      <c r="F12">
        <v>54985</v>
      </c>
      <c r="G12">
        <v>286</v>
      </c>
      <c r="H12">
        <v>1652</v>
      </c>
      <c r="I12">
        <v>34601</v>
      </c>
      <c r="J12">
        <v>607</v>
      </c>
      <c r="K12">
        <v>272</v>
      </c>
      <c r="L12">
        <v>5791</v>
      </c>
      <c r="O12">
        <f t="shared" si="0"/>
        <v>4.6969435330685545E-2</v>
      </c>
      <c r="P12">
        <f t="shared" si="1"/>
        <v>0.15625</v>
      </c>
    </row>
    <row r="13" spans="4:16" x14ac:dyDescent="0.2">
      <c r="D13" t="s">
        <v>46</v>
      </c>
      <c r="E13">
        <v>24885</v>
      </c>
      <c r="F13">
        <v>54908</v>
      </c>
      <c r="G13">
        <v>265</v>
      </c>
      <c r="H13">
        <v>1125</v>
      </c>
      <c r="I13">
        <v>35637</v>
      </c>
      <c r="J13">
        <v>670</v>
      </c>
      <c r="K13">
        <v>238</v>
      </c>
      <c r="L13">
        <v>6012</v>
      </c>
      <c r="M13">
        <v>2</v>
      </c>
      <c r="O13">
        <f t="shared" si="0"/>
        <v>3.9587491683300065E-2</v>
      </c>
      <c r="P13">
        <f t="shared" si="1"/>
        <v>7.8125E-2</v>
      </c>
    </row>
    <row r="14" spans="4:16" x14ac:dyDescent="0.2">
      <c r="D14" t="s">
        <v>47</v>
      </c>
      <c r="E14">
        <v>22034</v>
      </c>
      <c r="F14">
        <v>49268</v>
      </c>
      <c r="G14">
        <v>254</v>
      </c>
      <c r="H14">
        <v>989</v>
      </c>
      <c r="I14">
        <v>32878</v>
      </c>
      <c r="J14">
        <v>603</v>
      </c>
      <c r="K14">
        <v>206</v>
      </c>
      <c r="L14">
        <v>5552</v>
      </c>
      <c r="M14">
        <v>2</v>
      </c>
      <c r="O14">
        <f>K14/L14</f>
        <v>3.7103746397694523E-2</v>
      </c>
      <c r="P14">
        <f t="shared" si="1"/>
        <v>3.90625E-2</v>
      </c>
    </row>
    <row r="15" spans="4:16" x14ac:dyDescent="0.2">
      <c r="D15" t="s">
        <v>48</v>
      </c>
      <c r="E15">
        <v>24359</v>
      </c>
      <c r="F15">
        <v>49608</v>
      </c>
      <c r="G15">
        <v>299</v>
      </c>
      <c r="H15">
        <v>2570</v>
      </c>
      <c r="I15">
        <v>32310</v>
      </c>
      <c r="J15">
        <v>583</v>
      </c>
      <c r="K15">
        <v>491</v>
      </c>
      <c r="L15">
        <v>5505</v>
      </c>
      <c r="M15">
        <v>1</v>
      </c>
      <c r="O15">
        <f t="shared" si="0"/>
        <v>8.9191643960036329E-2</v>
      </c>
      <c r="P15">
        <f t="shared" si="1"/>
        <v>1.953125E-2</v>
      </c>
    </row>
    <row r="16" spans="4:16" x14ac:dyDescent="0.2">
      <c r="D16" t="s">
        <v>49</v>
      </c>
      <c r="E16">
        <v>36297</v>
      </c>
      <c r="F16">
        <v>78270</v>
      </c>
      <c r="G16">
        <v>420</v>
      </c>
      <c r="H16">
        <v>2028</v>
      </c>
      <c r="I16">
        <v>49805</v>
      </c>
      <c r="J16">
        <v>920</v>
      </c>
      <c r="K16">
        <v>358</v>
      </c>
      <c r="L16">
        <v>8312</v>
      </c>
      <c r="M16">
        <v>2</v>
      </c>
      <c r="O16">
        <f t="shared" si="0"/>
        <v>4.3070259865255055E-2</v>
      </c>
      <c r="P16">
        <f t="shared" si="1"/>
        <v>9.765625E-3</v>
      </c>
    </row>
    <row r="28" spans="4:13" x14ac:dyDescent="0.2">
      <c r="E28" s="2"/>
      <c r="F28" s="2"/>
      <c r="G28" s="2"/>
      <c r="H28" s="2"/>
      <c r="I28" s="2"/>
      <c r="J28" s="2"/>
      <c r="K28" s="2"/>
      <c r="L28" s="2"/>
      <c r="M28" s="2"/>
    </row>
    <row r="29" spans="4:13" x14ac:dyDescent="0.2">
      <c r="D29" s="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22C4-D71F-CD46-9AB7-3B61111B4CC7}">
  <dimension ref="A1:R82"/>
  <sheetViews>
    <sheetView workbookViewId="0">
      <selection activeCell="M33" sqref="M33"/>
    </sheetView>
  </sheetViews>
  <sheetFormatPr baseColWidth="10" defaultRowHeight="15" x14ac:dyDescent="0.2"/>
  <sheetData>
    <row r="1" spans="1:11" ht="20" thickBot="1" x14ac:dyDescent="0.3">
      <c r="A1" s="183" t="s">
        <v>80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1" ht="16" thickBot="1" x14ac:dyDescent="0.25">
      <c r="A2" s="135"/>
      <c r="B2" s="136"/>
      <c r="C2" s="137" t="s">
        <v>51</v>
      </c>
      <c r="D2" s="137" t="s">
        <v>52</v>
      </c>
      <c r="E2" s="137" t="s">
        <v>13</v>
      </c>
      <c r="F2" s="137" t="s">
        <v>16</v>
      </c>
      <c r="G2" s="137" t="s">
        <v>117</v>
      </c>
      <c r="H2" s="137" t="s">
        <v>60</v>
      </c>
      <c r="I2" s="137" t="s">
        <v>35</v>
      </c>
      <c r="J2" s="138" t="s">
        <v>112</v>
      </c>
    </row>
    <row r="3" spans="1:11" ht="16" thickTop="1" x14ac:dyDescent="0.2">
      <c r="A3" s="139" t="s">
        <v>63</v>
      </c>
      <c r="B3" s="140" t="s">
        <v>0</v>
      </c>
      <c r="C3" s="155">
        <v>12.21601098382061</v>
      </c>
      <c r="D3" s="156">
        <v>151.44011467097857</v>
      </c>
      <c r="E3" s="155">
        <v>3.7078879059653054</v>
      </c>
      <c r="F3" s="155">
        <v>8.0547976666816705</v>
      </c>
      <c r="G3" s="155">
        <v>14.787327312997947</v>
      </c>
      <c r="H3" s="155">
        <v>135.61996118911009</v>
      </c>
      <c r="I3" s="156">
        <v>2.2229519236942745</v>
      </c>
      <c r="J3" s="156">
        <v>2.2229519236942745</v>
      </c>
    </row>
    <row r="4" spans="1:11" x14ac:dyDescent="0.2">
      <c r="A4" s="141" t="s">
        <v>64</v>
      </c>
      <c r="B4" s="142" t="s">
        <v>1</v>
      </c>
      <c r="C4" s="151">
        <v>11.584085051228438</v>
      </c>
      <c r="D4" s="152">
        <v>114.87262990174517</v>
      </c>
      <c r="E4" s="151">
        <v>3.43449528483597</v>
      </c>
      <c r="F4" s="151">
        <v>8.31616827541208</v>
      </c>
      <c r="G4" s="151">
        <v>14.055791129453624</v>
      </c>
      <c r="H4" s="151">
        <v>141.26947157480384</v>
      </c>
      <c r="I4" s="152">
        <v>1.9054226057164321</v>
      </c>
      <c r="J4" s="152">
        <v>1.9054226057164321</v>
      </c>
    </row>
    <row r="5" spans="1:11" x14ac:dyDescent="0.2">
      <c r="A5" s="141" t="s">
        <v>65</v>
      </c>
      <c r="B5" s="142" t="s">
        <v>2</v>
      </c>
      <c r="C5" s="151">
        <v>10.736996091711127</v>
      </c>
      <c r="D5" s="152">
        <v>138.18573402405642</v>
      </c>
      <c r="E5" s="151">
        <v>3.4243728755613581</v>
      </c>
      <c r="F5" s="151">
        <v>7.9999574066601777</v>
      </c>
      <c r="G5" s="151">
        <v>13.745359017361652</v>
      </c>
      <c r="H5" s="151">
        <v>119.58888361823156</v>
      </c>
      <c r="I5" s="152">
        <v>1.9930300232053715</v>
      </c>
      <c r="J5" s="152">
        <v>1.9930300232053715</v>
      </c>
    </row>
    <row r="6" spans="1:11" x14ac:dyDescent="0.2">
      <c r="A6" s="141" t="s">
        <v>66</v>
      </c>
      <c r="B6" s="142" t="s">
        <v>3</v>
      </c>
      <c r="C6" s="151">
        <v>12.994983250725387</v>
      </c>
      <c r="D6" s="152">
        <v>196.58215757266106</v>
      </c>
      <c r="E6" s="151">
        <v>3.6431632378688308</v>
      </c>
      <c r="F6" s="151">
        <v>8.9554097982488994</v>
      </c>
      <c r="G6" s="151">
        <v>15.907636006983067</v>
      </c>
      <c r="H6" s="151">
        <v>132.42149714118352</v>
      </c>
      <c r="I6" s="152">
        <v>2.1201352035000074</v>
      </c>
      <c r="J6" s="152">
        <v>2.1201352035000074</v>
      </c>
    </row>
    <row r="7" spans="1:11" x14ac:dyDescent="0.2">
      <c r="A7" s="144" t="s">
        <v>66</v>
      </c>
      <c r="B7" s="145" t="s">
        <v>4</v>
      </c>
      <c r="C7" s="157">
        <v>11.952644071969878</v>
      </c>
      <c r="D7" s="158">
        <v>138.32223916503932</v>
      </c>
      <c r="E7" s="157">
        <v>3.1797608553249694</v>
      </c>
      <c r="F7" s="157">
        <v>8.2474998974071632</v>
      </c>
      <c r="G7" s="157">
        <v>13.55375764393775</v>
      </c>
      <c r="H7" s="157">
        <v>121.65100917411377</v>
      </c>
      <c r="I7" s="158">
        <v>1.8663700525182763</v>
      </c>
      <c r="J7" s="158">
        <v>1.8663700525182763</v>
      </c>
    </row>
    <row r="8" spans="1:11" x14ac:dyDescent="0.2">
      <c r="A8" s="134" t="s">
        <v>104</v>
      </c>
      <c r="B8" s="147" t="s">
        <v>0</v>
      </c>
      <c r="C8" s="148">
        <v>13.546449262946867</v>
      </c>
      <c r="D8" s="149">
        <v>207.56086282209409</v>
      </c>
      <c r="E8" s="148"/>
      <c r="F8" s="148"/>
      <c r="G8" s="148"/>
      <c r="H8" s="148"/>
      <c r="I8" s="149"/>
      <c r="J8" s="149"/>
    </row>
    <row r="9" spans="1:11" x14ac:dyDescent="0.2">
      <c r="A9" s="129" t="s">
        <v>110</v>
      </c>
      <c r="B9" s="150" t="s">
        <v>1</v>
      </c>
      <c r="C9" s="151">
        <v>14.579519773327153</v>
      </c>
      <c r="D9" s="152">
        <v>152.54194244115132</v>
      </c>
      <c r="E9" s="151">
        <v>4.226344697407483</v>
      </c>
      <c r="F9" s="151">
        <v>9.7677249568400288</v>
      </c>
      <c r="G9" s="151">
        <v>17.205121157242083</v>
      </c>
      <c r="H9" s="151">
        <v>193.44886926917542</v>
      </c>
      <c r="I9" s="152">
        <v>2.5694077373592963</v>
      </c>
      <c r="J9" s="152">
        <v>2.5694077373592963</v>
      </c>
    </row>
    <row r="10" spans="1:11" x14ac:dyDescent="0.2">
      <c r="A10" s="129" t="s">
        <v>111</v>
      </c>
      <c r="B10" s="150" t="s">
        <v>2</v>
      </c>
      <c r="C10" s="151">
        <v>11.159902920319212</v>
      </c>
      <c r="D10" s="152">
        <v>165.19112794107551</v>
      </c>
      <c r="E10" s="151">
        <v>3.4583979256480761</v>
      </c>
      <c r="F10" s="151">
        <v>8.4148861029821838</v>
      </c>
      <c r="G10" s="151">
        <v>14.290250659981641</v>
      </c>
      <c r="H10" s="151">
        <v>145.96978843349117</v>
      </c>
      <c r="I10" s="152">
        <v>2.1108144460069065</v>
      </c>
      <c r="J10" s="152">
        <v>2.1108144460069065</v>
      </c>
    </row>
    <row r="11" spans="1:11" x14ac:dyDescent="0.2">
      <c r="A11" s="129" t="s">
        <v>114</v>
      </c>
      <c r="B11" s="150" t="s">
        <v>3</v>
      </c>
      <c r="C11" s="152">
        <v>11.37496491899052</v>
      </c>
      <c r="D11" s="152">
        <v>135.75111907185496</v>
      </c>
      <c r="E11" s="152">
        <v>3.9257995615898942</v>
      </c>
      <c r="F11" s="152">
        <v>9.2893490850636109</v>
      </c>
      <c r="G11" s="152">
        <v>16.187188108662838</v>
      </c>
      <c r="H11" s="152">
        <v>183.68184546933915</v>
      </c>
      <c r="I11" s="152">
        <v>2.2855405457216422</v>
      </c>
      <c r="J11" s="152">
        <v>2.2855405457216422</v>
      </c>
    </row>
    <row r="12" spans="1:11" ht="16" thickBot="1" x14ac:dyDescent="0.25">
      <c r="A12" s="130" t="s">
        <v>115</v>
      </c>
      <c r="B12" s="153" t="s">
        <v>4</v>
      </c>
      <c r="C12" s="154">
        <v>16.089441624435828</v>
      </c>
      <c r="D12" s="154">
        <v>135.69540224006295</v>
      </c>
      <c r="E12" s="154">
        <v>4.1479848052477868</v>
      </c>
      <c r="F12" s="154">
        <v>10.082089463632744</v>
      </c>
      <c r="G12" s="154">
        <v>17.086603550893759</v>
      </c>
      <c r="H12" s="154">
        <v>194.80244319469458</v>
      </c>
      <c r="I12" s="154">
        <v>2.4228105852353301</v>
      </c>
      <c r="J12" s="154">
        <v>2.4228105852353301</v>
      </c>
    </row>
    <row r="13" spans="1:11" ht="16" thickTop="1" x14ac:dyDescent="0.2">
      <c r="A13" s="85"/>
      <c r="B13" s="82"/>
      <c r="C13" s="98"/>
      <c r="D13" s="98"/>
      <c r="E13" s="98"/>
      <c r="F13" s="98"/>
      <c r="G13" s="98"/>
      <c r="H13" s="98"/>
      <c r="I13" s="98"/>
      <c r="J13" s="98"/>
    </row>
    <row r="14" spans="1:11" ht="16" thickBot="1" x14ac:dyDescent="0.25">
      <c r="C14" s="4"/>
      <c r="D14" s="4"/>
      <c r="E14" s="4"/>
      <c r="F14" s="4"/>
      <c r="G14" s="4"/>
      <c r="H14" s="4"/>
      <c r="I14" s="4"/>
      <c r="J14" s="4"/>
    </row>
    <row r="15" spans="1:11" ht="20" thickBot="1" x14ac:dyDescent="0.3">
      <c r="A15" s="183" t="s">
        <v>81</v>
      </c>
      <c r="B15" s="184"/>
      <c r="C15" s="184"/>
      <c r="D15" s="184"/>
      <c r="E15" s="184"/>
      <c r="F15" s="184"/>
      <c r="G15" s="184"/>
      <c r="H15" s="184"/>
      <c r="I15" s="184"/>
      <c r="J15" s="185"/>
      <c r="K15" s="133"/>
    </row>
    <row r="16" spans="1:11" ht="16" thickBot="1" x14ac:dyDescent="0.25">
      <c r="A16" s="125"/>
      <c r="B16" s="132"/>
      <c r="C16" s="126" t="s">
        <v>51</v>
      </c>
      <c r="D16" s="126" t="s">
        <v>52</v>
      </c>
      <c r="E16" s="126" t="s">
        <v>13</v>
      </c>
      <c r="F16" s="126" t="s">
        <v>16</v>
      </c>
      <c r="G16" s="126" t="s">
        <v>117</v>
      </c>
      <c r="H16" s="126" t="s">
        <v>60</v>
      </c>
      <c r="I16" s="126" t="s">
        <v>35</v>
      </c>
      <c r="J16" s="127" t="s">
        <v>112</v>
      </c>
    </row>
    <row r="17" spans="1:11" ht="16" thickTop="1" x14ac:dyDescent="0.2">
      <c r="A17" s="139" t="s">
        <v>63</v>
      </c>
      <c r="B17" s="140" t="s">
        <v>0</v>
      </c>
      <c r="C17" s="155">
        <v>36.36546193997647</v>
      </c>
      <c r="D17" s="156">
        <v>40.678911937808522</v>
      </c>
      <c r="E17" s="155">
        <v>6.8783515879653239</v>
      </c>
      <c r="F17" s="155">
        <v>8.0537583186366142</v>
      </c>
      <c r="G17" s="155">
        <v>10.891632504247333</v>
      </c>
      <c r="H17" s="155">
        <v>2.249707659571933</v>
      </c>
      <c r="I17" s="156">
        <v>16.762326540760228</v>
      </c>
      <c r="J17" s="155">
        <v>4.8876367486860657</v>
      </c>
    </row>
    <row r="18" spans="1:11" x14ac:dyDescent="0.2">
      <c r="A18" s="141" t="s">
        <v>64</v>
      </c>
      <c r="B18" s="142" t="s">
        <v>1</v>
      </c>
      <c r="C18" s="151">
        <v>37.838458865080746</v>
      </c>
      <c r="D18" s="152">
        <v>40.636731659694952</v>
      </c>
      <c r="E18" s="151">
        <v>6.4348152793352851</v>
      </c>
      <c r="F18" s="151">
        <v>7.9991448589150043</v>
      </c>
      <c r="G18" s="151">
        <v>10.445373277768358</v>
      </c>
      <c r="H18" s="151">
        <v>2.2200500444394464</v>
      </c>
      <c r="I18" s="152">
        <v>16.93693320769993</v>
      </c>
      <c r="J18" s="151">
        <v>4.8773422369644273</v>
      </c>
    </row>
    <row r="19" spans="1:11" x14ac:dyDescent="0.2">
      <c r="A19" s="141" t="s">
        <v>65</v>
      </c>
      <c r="B19" s="142" t="s">
        <v>2</v>
      </c>
      <c r="C19" s="151">
        <v>38.604523749395412</v>
      </c>
      <c r="D19" s="152">
        <v>39.808092249734464</v>
      </c>
      <c r="E19" s="151">
        <v>7.6300754139584219</v>
      </c>
      <c r="F19" s="151">
        <v>7.4465313799711943</v>
      </c>
      <c r="G19" s="151">
        <v>10.3437487584015</v>
      </c>
      <c r="H19" s="151">
        <v>2.2395493982296362</v>
      </c>
      <c r="I19" s="152">
        <v>16.929052521756169</v>
      </c>
      <c r="J19" s="151">
        <v>4.7685771650387148</v>
      </c>
    </row>
    <row r="20" spans="1:11" x14ac:dyDescent="0.2">
      <c r="A20" s="141" t="s">
        <v>66</v>
      </c>
      <c r="B20" s="142" t="s">
        <v>3</v>
      </c>
      <c r="C20" s="151">
        <v>34.790836149540674</v>
      </c>
      <c r="D20" s="152">
        <v>41.010634286407488</v>
      </c>
      <c r="E20" s="151">
        <v>7.0827740213883104</v>
      </c>
      <c r="F20" s="151">
        <v>7.3342138196935096</v>
      </c>
      <c r="G20" s="151">
        <v>9.9579538290327196</v>
      </c>
      <c r="H20" s="151">
        <v>2.1044055815024447</v>
      </c>
      <c r="I20" s="152">
        <v>18.257314306953113</v>
      </c>
      <c r="J20" s="151">
        <v>4.7195761637232216</v>
      </c>
    </row>
    <row r="21" spans="1:11" x14ac:dyDescent="0.2">
      <c r="A21" s="144" t="s">
        <v>66</v>
      </c>
      <c r="B21" s="145" t="s">
        <v>4</v>
      </c>
      <c r="C21" s="157">
        <v>31.673422344620626</v>
      </c>
      <c r="D21" s="158">
        <v>40.879604397151297</v>
      </c>
      <c r="E21" s="157">
        <v>6.6189004765523878</v>
      </c>
      <c r="F21" s="157">
        <v>7.441097894813069</v>
      </c>
      <c r="G21" s="157">
        <v>10.041196311322141</v>
      </c>
      <c r="H21" s="157">
        <v>2.1799380722871202</v>
      </c>
      <c r="I21" s="158">
        <v>16.206158870927474</v>
      </c>
      <c r="J21" s="157">
        <v>4.5850471407920468</v>
      </c>
    </row>
    <row r="22" spans="1:11" x14ac:dyDescent="0.2">
      <c r="A22" s="134" t="s">
        <v>104</v>
      </c>
      <c r="B22" s="147" t="s">
        <v>0</v>
      </c>
      <c r="C22" s="148">
        <v>36.707834720019491</v>
      </c>
      <c r="D22" s="149">
        <v>40.99662397319895</v>
      </c>
      <c r="E22" s="148"/>
      <c r="F22" s="148"/>
      <c r="G22" s="148"/>
      <c r="H22" s="148"/>
      <c r="I22" s="149"/>
      <c r="J22" s="148"/>
    </row>
    <row r="23" spans="1:11" x14ac:dyDescent="0.2">
      <c r="A23" s="129" t="s">
        <v>110</v>
      </c>
      <c r="B23" s="150" t="s">
        <v>1</v>
      </c>
      <c r="C23" s="151">
        <v>37.163285040931569</v>
      </c>
      <c r="D23" s="152">
        <v>40.501713037299474</v>
      </c>
      <c r="E23" s="151">
        <v>6.1746141537297721</v>
      </c>
      <c r="F23" s="151">
        <v>7.7531275619293893</v>
      </c>
      <c r="G23" s="151">
        <v>10.150887714592374</v>
      </c>
      <c r="H23" s="151">
        <v>2.435779607855546</v>
      </c>
      <c r="I23" s="152">
        <v>14.565065903059594</v>
      </c>
      <c r="J23" s="151">
        <v>4.5252028261357591</v>
      </c>
    </row>
    <row r="24" spans="1:11" x14ac:dyDescent="0.2">
      <c r="A24" s="129" t="s">
        <v>111</v>
      </c>
      <c r="B24" s="150" t="s">
        <v>2</v>
      </c>
      <c r="C24" s="151">
        <v>35.955069229181618</v>
      </c>
      <c r="D24" s="152">
        <v>40.437229796497142</v>
      </c>
      <c r="E24" s="151">
        <v>7.3053374254376715</v>
      </c>
      <c r="F24" s="151">
        <v>7.4550669992917724</v>
      </c>
      <c r="G24" s="151">
        <v>10.538171343722336</v>
      </c>
      <c r="H24" s="151">
        <v>2.4118607137119628</v>
      </c>
      <c r="I24" s="152">
        <v>16.479697713510582</v>
      </c>
      <c r="J24" s="151">
        <v>6.1278761535976072</v>
      </c>
    </row>
    <row r="25" spans="1:11" x14ac:dyDescent="0.2">
      <c r="A25" s="129" t="s">
        <v>114</v>
      </c>
      <c r="B25" s="150" t="s">
        <v>3</v>
      </c>
      <c r="C25" s="152">
        <v>39.116512592934185</v>
      </c>
      <c r="D25" s="152">
        <v>39.371995294596331</v>
      </c>
      <c r="E25" s="152">
        <v>8.4219406342727989</v>
      </c>
      <c r="F25" s="152">
        <v>7.7389422941930572</v>
      </c>
      <c r="G25" s="152">
        <v>9.8658885314944875</v>
      </c>
      <c r="H25" s="152">
        <v>2.3362162397941382</v>
      </c>
      <c r="I25" s="152">
        <v>15.967853956712441</v>
      </c>
      <c r="J25" s="152">
        <v>4.7154535950484053</v>
      </c>
    </row>
    <row r="26" spans="1:11" ht="16" thickBot="1" x14ac:dyDescent="0.25">
      <c r="A26" s="130" t="s">
        <v>115</v>
      </c>
      <c r="B26" s="153" t="s">
        <v>4</v>
      </c>
      <c r="C26" s="154">
        <v>41.131634988778984</v>
      </c>
      <c r="D26" s="154">
        <v>40.18412843323582</v>
      </c>
      <c r="E26" s="154">
        <v>6.1538262687427565</v>
      </c>
      <c r="F26" s="154">
        <v>7.980653313974825</v>
      </c>
      <c r="G26" s="154">
        <v>10.270491825424196</v>
      </c>
      <c r="H26" s="154">
        <v>2.4619619799930628</v>
      </c>
      <c r="I26" s="154">
        <v>16.74322737268205</v>
      </c>
      <c r="J26" s="154">
        <v>4.9922513965966306</v>
      </c>
    </row>
    <row r="27" spans="1:11" ht="16" thickTop="1" x14ac:dyDescent="0.2">
      <c r="A27" s="85"/>
      <c r="B27" s="82"/>
      <c r="C27" s="98"/>
      <c r="D27" s="98"/>
      <c r="E27" s="98"/>
      <c r="F27" s="98"/>
      <c r="G27" s="98"/>
      <c r="H27" s="98"/>
      <c r="I27" s="98"/>
      <c r="J27" s="98"/>
    </row>
    <row r="28" spans="1:11" x14ac:dyDescent="0.2">
      <c r="A28" s="85"/>
      <c r="B28" s="82"/>
      <c r="C28" s="98"/>
      <c r="D28" s="98"/>
      <c r="E28" s="98"/>
      <c r="F28" s="98"/>
      <c r="G28" s="98"/>
      <c r="H28" s="98"/>
      <c r="I28" s="98"/>
      <c r="J28" s="98"/>
    </row>
    <row r="31" spans="1:11" ht="17" thickBot="1" x14ac:dyDescent="0.25">
      <c r="A31" s="191" t="s">
        <v>73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28"/>
    </row>
    <row r="32" spans="1:11" ht="16" thickTop="1" x14ac:dyDescent="0.2">
      <c r="A32" s="20"/>
      <c r="B32" s="21"/>
      <c r="C32" s="131" t="s">
        <v>51</v>
      </c>
      <c r="D32" s="131" t="s">
        <v>52</v>
      </c>
      <c r="E32" s="131" t="s">
        <v>13</v>
      </c>
      <c r="F32" s="131" t="s">
        <v>18</v>
      </c>
      <c r="G32" s="131" t="s">
        <v>56</v>
      </c>
      <c r="H32" s="131" t="s">
        <v>60</v>
      </c>
      <c r="I32" s="131" t="s">
        <v>35</v>
      </c>
      <c r="J32" s="162" t="s">
        <v>112</v>
      </c>
    </row>
    <row r="33" spans="1:18" x14ac:dyDescent="0.2">
      <c r="A33" s="142" t="s">
        <v>63</v>
      </c>
      <c r="B33" s="142" t="s">
        <v>0</v>
      </c>
      <c r="C33" s="163">
        <v>4.4424088249046285</v>
      </c>
      <c r="D33" s="164">
        <v>61.604190885523622</v>
      </c>
      <c r="E33" s="143">
        <v>0.25504156665993877</v>
      </c>
      <c r="F33" s="143">
        <v>0.64871393712972292</v>
      </c>
      <c r="G33" s="143">
        <v>1.46</v>
      </c>
      <c r="H33" s="143">
        <v>3.0510526547798924</v>
      </c>
      <c r="I33" s="143">
        <v>0.3726184602937454</v>
      </c>
      <c r="J33" s="143">
        <v>0.1</v>
      </c>
    </row>
    <row r="34" spans="1:18" x14ac:dyDescent="0.2">
      <c r="A34" s="142" t="s">
        <v>64</v>
      </c>
      <c r="B34" s="142" t="s">
        <v>1</v>
      </c>
      <c r="C34" s="163">
        <v>4.3832392570050409</v>
      </c>
      <c r="D34" s="164">
        <v>46.680482363606686</v>
      </c>
      <c r="E34" s="143">
        <v>0.22100342735667491</v>
      </c>
      <c r="F34" s="143">
        <v>0.66522234706134598</v>
      </c>
      <c r="G34" s="143">
        <v>1.468179850614884</v>
      </c>
      <c r="H34" s="143">
        <v>3.1362529664758041</v>
      </c>
      <c r="I34" s="143">
        <v>0.32272015405460769</v>
      </c>
      <c r="J34" s="143">
        <v>9.2933981541275704E-2</v>
      </c>
    </row>
    <row r="35" spans="1:18" x14ac:dyDescent="0.2">
      <c r="A35" s="142" t="s">
        <v>65</v>
      </c>
      <c r="B35" s="142" t="s">
        <v>2</v>
      </c>
      <c r="C35" s="163">
        <v>4.1449662061962798</v>
      </c>
      <c r="D35" s="164">
        <v>55.009104476269087</v>
      </c>
      <c r="E35" s="143">
        <v>0.2612822328604682</v>
      </c>
      <c r="F35" s="143">
        <v>0.59571933867127991</v>
      </c>
      <c r="G35" s="143">
        <v>1.4217854026961745</v>
      </c>
      <c r="H35" s="143">
        <v>2.678252123421645</v>
      </c>
      <c r="I35" s="143">
        <v>0.33740109940280655</v>
      </c>
      <c r="J35" s="143">
        <v>9.5039174578937138E-2</v>
      </c>
    </row>
    <row r="36" spans="1:18" x14ac:dyDescent="0.2">
      <c r="A36" s="142" t="s">
        <v>66</v>
      </c>
      <c r="B36" s="142" t="s">
        <v>3</v>
      </c>
      <c r="C36" s="163">
        <v>4.5210633304201231</v>
      </c>
      <c r="D36" s="164">
        <v>80.619589714453326</v>
      </c>
      <c r="E36" s="143">
        <v>0.25803701936854273</v>
      </c>
      <c r="F36" s="143">
        <v>0.65680890303335748</v>
      </c>
      <c r="G36" s="143">
        <v>1.5840750488659581</v>
      </c>
      <c r="H36" s="143">
        <v>2.7866853769481663</v>
      </c>
      <c r="I36" s="143">
        <v>0.38707974783535631</v>
      </c>
      <c r="J36" s="143">
        <v>0.10006139570309117</v>
      </c>
    </row>
    <row r="37" spans="1:18" x14ac:dyDescent="0.2">
      <c r="A37" s="145" t="s">
        <v>113</v>
      </c>
      <c r="B37" s="145" t="s">
        <v>4</v>
      </c>
      <c r="C37" s="166">
        <v>3.7858114382642798</v>
      </c>
      <c r="D37" s="167">
        <v>56.545584163949549</v>
      </c>
      <c r="E37" s="146">
        <v>0.21046520640633071</v>
      </c>
      <c r="F37" s="146">
        <v>0.61370454124067442</v>
      </c>
      <c r="G37" s="146">
        <v>1.3609594125886202</v>
      </c>
      <c r="H37" s="146">
        <v>2.6519166643080037</v>
      </c>
      <c r="I37" s="146">
        <v>0.30246689583052438</v>
      </c>
      <c r="J37" s="146">
        <v>8.5573946729588249E-2</v>
      </c>
    </row>
    <row r="38" spans="1:18" x14ac:dyDescent="0.2">
      <c r="A38" s="134" t="s">
        <v>104</v>
      </c>
      <c r="B38" s="147" t="s">
        <v>0</v>
      </c>
      <c r="C38" s="159">
        <v>4.9726082058738346</v>
      </c>
      <c r="D38" s="160">
        <v>85.092946446701205</v>
      </c>
      <c r="E38" s="161">
        <v>0.23159094632385874</v>
      </c>
      <c r="F38" s="161"/>
      <c r="G38" s="161"/>
      <c r="H38" s="148"/>
      <c r="I38" s="161"/>
      <c r="J38" s="161"/>
    </row>
    <row r="39" spans="1:18" x14ac:dyDescent="0.2">
      <c r="A39" s="129" t="s">
        <v>110</v>
      </c>
      <c r="B39" s="150" t="s">
        <v>1</v>
      </c>
      <c r="C39" s="163">
        <v>5.4182284909605505</v>
      </c>
      <c r="D39" s="164">
        <v>61.782099789037645</v>
      </c>
      <c r="E39" s="143">
        <v>0.26096047787153015</v>
      </c>
      <c r="F39" s="165">
        <v>0.76</v>
      </c>
      <c r="G39" s="143">
        <v>1.5429546362699009</v>
      </c>
      <c r="H39" s="143">
        <v>4.7119881092857092</v>
      </c>
      <c r="I39" s="143">
        <v>0.37423593026469382</v>
      </c>
      <c r="J39" s="143">
        <v>0.11627091154593375</v>
      </c>
    </row>
    <row r="40" spans="1:18" x14ac:dyDescent="0.2">
      <c r="A40" s="129" t="s">
        <v>111</v>
      </c>
      <c r="B40" s="150" t="s">
        <v>2</v>
      </c>
      <c r="C40" s="163">
        <v>4.0125508209102341</v>
      </c>
      <c r="D40" s="164">
        <v>66.798716008958294</v>
      </c>
      <c r="E40" s="143">
        <v>0.252647637982929</v>
      </c>
      <c r="F40" s="143">
        <v>0.75730417580221987</v>
      </c>
      <c r="G40" s="143">
        <v>1.7464725298312198</v>
      </c>
      <c r="H40" s="143">
        <v>3.5205879811158423</v>
      </c>
      <c r="I40" s="143">
        <v>0.34785583999505121</v>
      </c>
      <c r="J40" s="143">
        <v>0.12934809508355066</v>
      </c>
    </row>
    <row r="41" spans="1:18" x14ac:dyDescent="0.2">
      <c r="A41" s="129" t="s">
        <v>114</v>
      </c>
      <c r="B41" s="150" t="s">
        <v>3</v>
      </c>
      <c r="C41" s="163">
        <v>4.4494895849787728</v>
      </c>
      <c r="D41" s="164">
        <v>53.447924213332598</v>
      </c>
      <c r="E41" s="143">
        <v>0.33062850849764269</v>
      </c>
      <c r="F41" s="143">
        <v>0.71889736519922354</v>
      </c>
      <c r="G41" s="143">
        <v>1.5970099351840061</v>
      </c>
      <c r="H41" s="143">
        <v>4.2912051034082745</v>
      </c>
      <c r="I41" s="143">
        <v>0.36495177646228039</v>
      </c>
      <c r="J41" s="143">
        <v>0.10777360382952011</v>
      </c>
    </row>
    <row r="42" spans="1:18" ht="16" thickBot="1" x14ac:dyDescent="0.25">
      <c r="A42" s="130" t="s">
        <v>115</v>
      </c>
      <c r="B42" s="153" t="s">
        <v>4</v>
      </c>
      <c r="C42" s="168">
        <v>6.6178504006956169</v>
      </c>
      <c r="D42" s="169">
        <v>54.528014714142849</v>
      </c>
      <c r="E42" s="170">
        <v>0.25525977856879639</v>
      </c>
      <c r="F42" s="170">
        <v>0.80461660689731329</v>
      </c>
      <c r="G42" s="170">
        <v>1.7548782209371838</v>
      </c>
      <c r="H42" s="170">
        <v>4.7959620875509641</v>
      </c>
      <c r="I42" s="170">
        <v>0.40565668509535996</v>
      </c>
      <c r="J42" s="170">
        <v>0.12095279527830177</v>
      </c>
    </row>
    <row r="43" spans="1:18" ht="16" thickTop="1" x14ac:dyDescent="0.2">
      <c r="A43" s="85"/>
      <c r="B43" s="82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8" x14ac:dyDescent="0.2">
      <c r="A44" s="85"/>
      <c r="B44" s="82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8" ht="19" x14ac:dyDescent="0.25">
      <c r="A45" s="85"/>
      <c r="B45" s="82"/>
      <c r="C45" s="103"/>
      <c r="D45" s="103"/>
      <c r="E45" s="103"/>
      <c r="F45" s="103"/>
      <c r="G45" s="103"/>
      <c r="H45" s="103"/>
      <c r="I45" s="103"/>
      <c r="J45" s="103"/>
      <c r="K45" s="103"/>
      <c r="O45" s="124"/>
      <c r="P45" s="124"/>
      <c r="Q45" s="1"/>
      <c r="R45" s="1"/>
    </row>
    <row r="46" spans="1:18" ht="19" x14ac:dyDescent="0.25">
      <c r="C46" s="3"/>
      <c r="D46" s="3"/>
      <c r="E46" s="3"/>
      <c r="F46" s="3"/>
      <c r="G46" s="3"/>
      <c r="H46" s="3"/>
      <c r="I46" s="3"/>
      <c r="J46" s="3"/>
      <c r="K46" s="3"/>
      <c r="O46" s="124"/>
      <c r="P46" s="124"/>
      <c r="Q46" s="1"/>
      <c r="R46" s="1"/>
    </row>
    <row r="47" spans="1:18" ht="19" x14ac:dyDescent="0.25">
      <c r="A47" s="21"/>
      <c r="B47" s="103"/>
      <c r="C47" s="131" t="s">
        <v>51</v>
      </c>
      <c r="D47" s="131" t="s">
        <v>52</v>
      </c>
      <c r="E47" s="131" t="s">
        <v>14</v>
      </c>
      <c r="F47" s="131" t="s">
        <v>18</v>
      </c>
      <c r="G47" s="131" t="s">
        <v>56</v>
      </c>
      <c r="H47" s="131" t="s">
        <v>60</v>
      </c>
      <c r="I47" s="131" t="s">
        <v>35</v>
      </c>
      <c r="J47" s="131" t="s">
        <v>112</v>
      </c>
      <c r="N47" s="124"/>
      <c r="O47" s="124"/>
      <c r="P47" s="1"/>
      <c r="Q47" s="1"/>
    </row>
    <row r="48" spans="1:18" ht="19" x14ac:dyDescent="0.25">
      <c r="A48" s="171" t="s">
        <v>67</v>
      </c>
      <c r="B48" s="171"/>
      <c r="C48" s="171">
        <f>AVERAGE(C33:C37)</f>
        <v>4.2554978113580706</v>
      </c>
      <c r="D48" s="171">
        <v>6.0091790320760463</v>
      </c>
      <c r="E48" s="171">
        <f t="shared" ref="E48:F48" si="0">AVERAGE(E33:E37)</f>
        <v>0.24116589053039106</v>
      </c>
      <c r="F48" s="171">
        <f t="shared" si="0"/>
        <v>0.63603381342727616</v>
      </c>
      <c r="G48" s="171">
        <v>0.14587499286914091</v>
      </c>
      <c r="H48" s="171">
        <v>0.28608319571867019</v>
      </c>
      <c r="I48" s="171">
        <f>AVERAGE(I33:I37)</f>
        <v>0.34445727148340805</v>
      </c>
      <c r="J48" s="172">
        <v>9.6451662736199484E-2</v>
      </c>
      <c r="N48" s="124"/>
      <c r="O48" s="124"/>
      <c r="P48" s="1"/>
      <c r="Q48" s="1"/>
    </row>
    <row r="49" spans="1:17" ht="19" x14ac:dyDescent="0.25">
      <c r="A49" s="173" t="s">
        <v>104</v>
      </c>
      <c r="B49" s="174"/>
      <c r="C49" s="174">
        <f>AVERAGE(C38:C42)</f>
        <v>5.0941455006838012</v>
      </c>
      <c r="D49" s="174">
        <v>6.4329940234434533</v>
      </c>
      <c r="E49" s="174">
        <f t="shared" ref="E49:F49" si="1">AVERAGE(E38:E42)</f>
        <v>0.26621746984895139</v>
      </c>
      <c r="F49" s="174">
        <f t="shared" si="1"/>
        <v>0.76020453697468926</v>
      </c>
      <c r="G49" s="174">
        <v>0.16603288305555777</v>
      </c>
      <c r="H49" s="174">
        <v>0.43299358203401972</v>
      </c>
      <c r="I49" s="174">
        <f>AVERAGE(I38:I42)</f>
        <v>0.37317505795434636</v>
      </c>
      <c r="J49" s="175">
        <v>0.11858635143432657</v>
      </c>
      <c r="N49" s="124"/>
      <c r="O49" s="124"/>
      <c r="P49" s="1"/>
      <c r="Q49" s="1"/>
    </row>
    <row r="50" spans="1:17" ht="19" x14ac:dyDescent="0.2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N50" s="124"/>
      <c r="O50" s="124"/>
      <c r="P50" s="1"/>
      <c r="Q50" s="1"/>
    </row>
    <row r="51" spans="1:17" ht="19" x14ac:dyDescent="0.2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N51" s="124"/>
      <c r="O51" s="124"/>
      <c r="P51" s="1"/>
      <c r="Q51" s="1"/>
    </row>
    <row r="52" spans="1:17" ht="19" x14ac:dyDescent="0.25">
      <c r="A52" s="171" t="s">
        <v>82</v>
      </c>
      <c r="B52" s="171"/>
      <c r="C52" s="171">
        <v>0.29774199134708834</v>
      </c>
      <c r="D52" s="171">
        <v>1.2668369646860647</v>
      </c>
      <c r="E52" s="172">
        <v>2.3616167830446462E-2</v>
      </c>
      <c r="F52" s="172">
        <v>2.9867263233314876E-2</v>
      </c>
      <c r="G52" s="172">
        <f t="shared" ref="G52:G53" si="2">G37/10</f>
        <v>0.13609594125886201</v>
      </c>
      <c r="H52" s="172">
        <f t="shared" ref="H52:H53" si="3">H37/10</f>
        <v>0.26519166643080039</v>
      </c>
      <c r="I52" s="171">
        <v>3.4982894146992252E-2</v>
      </c>
      <c r="J52" s="171">
        <v>6.0145753785350222E-3</v>
      </c>
      <c r="N52" s="124"/>
      <c r="O52" s="124"/>
      <c r="P52" s="1"/>
      <c r="Q52" s="1"/>
    </row>
    <row r="53" spans="1:17" ht="19" x14ac:dyDescent="0.25">
      <c r="A53" s="178" t="s">
        <v>116</v>
      </c>
      <c r="B53" s="178"/>
      <c r="C53" s="178">
        <v>1.003357615945639</v>
      </c>
      <c r="D53" s="178">
        <v>1.2827556161634595</v>
      </c>
      <c r="E53" s="179">
        <v>3.76816445068116E-2</v>
      </c>
      <c r="F53" s="179">
        <v>4.2936654182096995E-2</v>
      </c>
      <c r="G53" s="179">
        <f t="shared" si="2"/>
        <v>0</v>
      </c>
      <c r="H53" s="179">
        <f t="shared" si="3"/>
        <v>0</v>
      </c>
      <c r="I53" s="178">
        <v>2.4254667649442528E-2</v>
      </c>
      <c r="J53" s="178">
        <v>9.0128048812104268E-3</v>
      </c>
      <c r="N53" s="124"/>
      <c r="O53" s="124"/>
      <c r="P53" s="1"/>
      <c r="Q53" s="1"/>
    </row>
    <row r="54" spans="1:17" ht="19" x14ac:dyDescent="0.2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N54" s="124"/>
      <c r="O54" s="124"/>
      <c r="P54" s="1"/>
      <c r="Q54" s="1"/>
    </row>
    <row r="55" spans="1:17" x14ac:dyDescent="0.2">
      <c r="A55" s="177"/>
      <c r="B55" s="177"/>
      <c r="C55" s="177"/>
      <c r="D55" s="177"/>
      <c r="E55" s="177"/>
      <c r="F55" s="177"/>
      <c r="G55" s="177"/>
      <c r="H55" s="177"/>
      <c r="I55" s="177"/>
      <c r="J55" s="177"/>
    </row>
    <row r="56" spans="1:17" x14ac:dyDescent="0.2">
      <c r="A56" s="177" t="s">
        <v>88</v>
      </c>
      <c r="B56" s="177"/>
      <c r="C56" s="177">
        <f>_xlfn.T.TEST(C33:C37,C38:C42,2,2)</f>
        <v>0.11093887262899484</v>
      </c>
      <c r="D56" s="177">
        <f>_xlfn.T.TEST(D33:D37,D38:D42,2,2)</f>
        <v>0.61338554429670711</v>
      </c>
      <c r="E56" s="180">
        <v>0.24330309007216711</v>
      </c>
      <c r="F56" s="177">
        <v>2.7322834824362414E-3</v>
      </c>
      <c r="G56" s="177">
        <v>2.9946455936645612E-2</v>
      </c>
      <c r="H56" s="177">
        <v>1.1754685646442999E-3</v>
      </c>
      <c r="I56" s="177">
        <v>0.20774197783527582</v>
      </c>
      <c r="J56" s="177">
        <v>3.50915064955448E-3</v>
      </c>
    </row>
    <row r="57" spans="1:17" x14ac:dyDescent="0.2">
      <c r="B57" s="72"/>
      <c r="C57" s="92"/>
      <c r="D57" s="92"/>
      <c r="E57" s="103"/>
      <c r="F57" s="92"/>
      <c r="G57" s="92"/>
      <c r="H57" s="92"/>
      <c r="I57" s="73"/>
      <c r="J57" s="92"/>
      <c r="K57" s="92"/>
    </row>
    <row r="58" spans="1:17" x14ac:dyDescent="0.2">
      <c r="B58" s="72"/>
      <c r="C58" s="92"/>
      <c r="D58" s="92"/>
      <c r="E58" s="107"/>
      <c r="F58" s="73"/>
      <c r="G58" s="73"/>
      <c r="H58" s="103"/>
      <c r="I58" s="73"/>
      <c r="J58" s="92"/>
      <c r="K58" s="92"/>
    </row>
    <row r="60" spans="1:17" x14ac:dyDescent="0.2">
      <c r="A60" s="123"/>
    </row>
    <row r="63" spans="1:17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</row>
    <row r="64" spans="1:17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</row>
    <row r="65" spans="1:11" x14ac:dyDescent="0.2">
      <c r="A65" s="72"/>
      <c r="B65" s="72"/>
      <c r="C65" s="92"/>
      <c r="D65" s="92"/>
      <c r="E65" s="92"/>
      <c r="F65" s="92"/>
      <c r="G65" s="92"/>
      <c r="H65" s="92"/>
      <c r="I65" s="92"/>
      <c r="J65" s="92"/>
      <c r="K65" s="92"/>
    </row>
    <row r="66" spans="1:11" x14ac:dyDescent="0.2">
      <c r="A66" s="72"/>
      <c r="B66" s="72"/>
      <c r="C66" s="92"/>
      <c r="D66" s="92"/>
      <c r="E66" s="92"/>
      <c r="F66" s="92"/>
      <c r="G66" s="92"/>
      <c r="H66" s="92"/>
      <c r="I66" s="92"/>
      <c r="J66" s="92"/>
      <c r="K66" s="92"/>
    </row>
    <row r="67" spans="1:11" x14ac:dyDescent="0.2">
      <c r="A67" s="72"/>
      <c r="B67" s="72"/>
      <c r="C67" s="92"/>
      <c r="D67" s="92"/>
      <c r="E67" s="92"/>
      <c r="F67" s="92"/>
      <c r="G67" s="92"/>
      <c r="H67" s="92"/>
      <c r="I67" s="92"/>
      <c r="J67" s="92"/>
      <c r="K67" s="92"/>
    </row>
    <row r="68" spans="1:1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</row>
    <row r="69" spans="1:1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</row>
    <row r="70" spans="1:11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</row>
    <row r="71" spans="1:11" x14ac:dyDescent="0.2">
      <c r="A71" s="72"/>
      <c r="B71" s="72"/>
      <c r="C71" s="92"/>
      <c r="D71" s="92"/>
      <c r="E71" s="92"/>
      <c r="F71" s="92"/>
      <c r="G71" s="92"/>
      <c r="H71" s="92"/>
      <c r="I71" s="92"/>
      <c r="J71" s="92"/>
      <c r="K71" s="92"/>
    </row>
    <row r="72" spans="1:11" x14ac:dyDescent="0.2">
      <c r="A72" s="72"/>
      <c r="B72" s="72"/>
      <c r="C72" s="92"/>
      <c r="D72" s="92"/>
      <c r="E72" s="92"/>
      <c r="F72" s="92"/>
      <c r="G72" s="92"/>
      <c r="H72" s="92"/>
      <c r="I72" s="92"/>
      <c r="J72" s="92"/>
      <c r="K72" s="92"/>
    </row>
    <row r="73" spans="1:11" x14ac:dyDescent="0.2">
      <c r="A73" s="72"/>
      <c r="B73" s="72"/>
      <c r="C73" s="92"/>
      <c r="D73" s="92"/>
      <c r="E73" s="92"/>
      <c r="F73" s="92"/>
      <c r="G73" s="92"/>
      <c r="H73" s="92"/>
      <c r="I73" s="92"/>
      <c r="J73" s="92"/>
      <c r="K73" s="92"/>
    </row>
    <row r="74" spans="1:11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</row>
    <row r="75" spans="1:11" x14ac:dyDescent="0.2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</row>
    <row r="76" spans="1:11" x14ac:dyDescent="0.2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</row>
    <row r="77" spans="1:11" x14ac:dyDescent="0.2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</row>
    <row r="78" spans="1:1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</row>
    <row r="79" spans="1:11" x14ac:dyDescent="0.2">
      <c r="A79" s="72"/>
      <c r="B79" s="72"/>
      <c r="C79" s="92"/>
      <c r="D79" s="92"/>
      <c r="E79" s="92"/>
      <c r="F79" s="92"/>
      <c r="G79" s="92"/>
      <c r="H79" s="92"/>
      <c r="I79" s="92"/>
      <c r="J79" s="92"/>
      <c r="K79" s="92"/>
    </row>
    <row r="80" spans="1:11" x14ac:dyDescent="0.2">
      <c r="A80" s="72"/>
      <c r="B80" s="72"/>
      <c r="C80" s="92"/>
      <c r="D80" s="92"/>
      <c r="E80" s="92"/>
      <c r="F80" s="92"/>
      <c r="G80" s="92"/>
      <c r="H80" s="92"/>
      <c r="I80" s="92"/>
      <c r="J80" s="92"/>
      <c r="K80" s="92"/>
    </row>
    <row r="81" spans="1:11" x14ac:dyDescent="0.2">
      <c r="A81" s="72"/>
      <c r="B81" s="72"/>
      <c r="C81" s="92"/>
      <c r="D81" s="92"/>
      <c r="E81" s="92"/>
      <c r="F81" s="92"/>
      <c r="G81" s="92"/>
      <c r="H81" s="92"/>
      <c r="I81" s="92"/>
      <c r="J81" s="92"/>
      <c r="K81" s="92"/>
    </row>
    <row r="82" spans="1:11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</row>
  </sheetData>
  <mergeCells count="3">
    <mergeCell ref="A1:J1"/>
    <mergeCell ref="A31:J31"/>
    <mergeCell ref="A15:J15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MLE12 Exp 1 Nov 17 FLUX</vt:lpstr>
      <vt:lpstr>MLE12 Absolute rates</vt:lpstr>
      <vt:lpstr>MLE12 Glucose Standard curve</vt:lpstr>
      <vt:lpstr>BEAS absolute rates</vt:lpstr>
      <vt:lpstr>'MLE12 Absolute rates'!Print_Area</vt:lpstr>
      <vt:lpstr>'MLE12 Exp 1 Nov 17 FLUX'!Print_Area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DrummLab</dc:creator>
  <cp:lastModifiedBy>Theodore Lemuel Mathuram</cp:lastModifiedBy>
  <cp:lastPrinted>2019-03-25T14:41:23Z</cp:lastPrinted>
  <dcterms:created xsi:type="dcterms:W3CDTF">2017-12-04T18:43:54Z</dcterms:created>
  <dcterms:modified xsi:type="dcterms:W3CDTF">2022-03-11T13:10:40Z</dcterms:modified>
</cp:coreProperties>
</file>